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autoCompressPictures="0"/>
  <mc:AlternateContent xmlns:mc="http://schemas.openxmlformats.org/markup-compatibility/2006">
    <mc:Choice Requires="x15">
      <x15ac:absPath xmlns:x15ac="http://schemas.microsoft.com/office/spreadsheetml/2010/11/ac" url="D:\GoogleDrive\OUP equity handbook\Exercises - Final Set\"/>
    </mc:Choice>
  </mc:AlternateContent>
  <xr:revisionPtr revIDLastSave="0" documentId="13_ncr:1_{3CFF9C43-232D-46F3-8E6D-6FDA5AF55098}" xr6:coauthVersionLast="45" xr6:coauthVersionMax="45" xr10:uidLastSave="{00000000-0000-0000-0000-000000000000}"/>
  <bookViews>
    <workbookView xWindow="-120" yWindow="-120" windowWidth="29040" windowHeight="15840" xr2:uid="{00000000-000D-0000-FFFF-FFFF00000000}"/>
  </bookViews>
  <sheets>
    <sheet name="Title Sheet" sheetId="8" r:id="rId1"/>
    <sheet name="HOC Calcs" sheetId="16" r:id="rId2"/>
    <sheet name="HOC Summary" sheetId="20" r:id="rId3"/>
    <sheet name="Outputs" sheetId="21" r:id="rId4"/>
    <sheet name="Net Calcs" sheetId="17" r:id="rId5"/>
    <sheet name="Net Fig" sheetId="23" r:id="rId6"/>
    <sheet name="Final Dist" sheetId="19" r:id="rId7"/>
    <sheet name="Summary" sheetId="24" r:id="rId8"/>
    <sheet name="Equity Impact" sheetId="18" r:id="rId9"/>
  </sheets>
  <definedNames>
    <definedName name="atkinson_e">#REF!</definedName>
    <definedName name="h_c">#REF!</definedName>
    <definedName name="h_n">#REF!</definedName>
    <definedName name="h_ses2">#REF!</definedName>
    <definedName name="h_ses3">#REF!</definedName>
    <definedName name="h_ses4">#REF!</definedName>
    <definedName name="h_ses5">#REF!</definedName>
    <definedName name="kolm_a">#REF!</definedName>
    <definedName name="mprod">'Equity Impact'!$B$3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7" i="17" l="1"/>
  <c r="B24" i="24" l="1"/>
  <c r="B23" i="24"/>
  <c r="B22" i="24"/>
  <c r="B21" i="24"/>
  <c r="B20" i="24"/>
  <c r="I9" i="19" l="1"/>
  <c r="B30" i="16" l="1"/>
  <c r="C30" i="16"/>
  <c r="D30" i="16"/>
  <c r="E30" i="16"/>
  <c r="F30" i="16"/>
  <c r="G30" i="16"/>
  <c r="H30" i="16"/>
  <c r="I30" i="16"/>
  <c r="J30" i="16"/>
  <c r="K30" i="16"/>
  <c r="L30" i="16"/>
  <c r="M30" i="16"/>
  <c r="N30" i="16"/>
  <c r="O30" i="16"/>
  <c r="P30" i="16"/>
  <c r="Q30" i="16"/>
  <c r="R30" i="16"/>
  <c r="S30" i="16"/>
  <c r="T30" i="16"/>
  <c r="U30" i="16"/>
  <c r="V30" i="16"/>
  <c r="L21" i="21" l="1"/>
  <c r="L22" i="21"/>
  <c r="L23" i="21"/>
  <c r="L24" i="21"/>
  <c r="L25" i="21"/>
  <c r="K64" i="19" l="1"/>
  <c r="K63" i="19"/>
  <c r="K62" i="19"/>
  <c r="K61" i="19"/>
  <c r="K60" i="19"/>
  <c r="K59" i="19"/>
  <c r="K58" i="19"/>
  <c r="K57" i="19"/>
  <c r="K56" i="19"/>
  <c r="K55" i="19"/>
  <c r="K41" i="19"/>
  <c r="K40" i="19"/>
  <c r="K39" i="19"/>
  <c r="K38" i="19"/>
  <c r="K37" i="19"/>
  <c r="K36" i="19"/>
  <c r="K35" i="19"/>
  <c r="K34" i="19"/>
  <c r="K33" i="19"/>
  <c r="K32" i="19"/>
  <c r="K18" i="19"/>
  <c r="K17" i="19"/>
  <c r="K16" i="19"/>
  <c r="K15" i="19"/>
  <c r="K14" i="19"/>
  <c r="K13" i="19"/>
  <c r="K12" i="19"/>
  <c r="K11" i="19"/>
  <c r="K10" i="19"/>
  <c r="K9" i="19"/>
  <c r="C45" i="16" l="1"/>
  <c r="D45" i="16"/>
  <c r="E45" i="16"/>
  <c r="F45" i="16"/>
  <c r="G45" i="16"/>
  <c r="H45" i="16"/>
  <c r="I45" i="16"/>
  <c r="J45" i="16"/>
  <c r="K45" i="16"/>
  <c r="L45" i="16"/>
  <c r="M45" i="16"/>
  <c r="N45" i="16"/>
  <c r="O45" i="16"/>
  <c r="P45" i="16"/>
  <c r="Q45" i="16"/>
  <c r="R45" i="16"/>
  <c r="S45" i="16"/>
  <c r="T45" i="16"/>
  <c r="U45" i="16"/>
  <c r="V45" i="16"/>
  <c r="C31" i="16"/>
  <c r="C46" i="16" s="1"/>
  <c r="D31" i="16"/>
  <c r="D46" i="16" s="1"/>
  <c r="E31" i="16"/>
  <c r="E46" i="16" s="1"/>
  <c r="F31" i="16"/>
  <c r="F46" i="16" s="1"/>
  <c r="G31" i="16"/>
  <c r="G46" i="16" s="1"/>
  <c r="H31" i="16"/>
  <c r="H46" i="16" s="1"/>
  <c r="I31" i="16"/>
  <c r="I46" i="16" s="1"/>
  <c r="J31" i="16"/>
  <c r="J46" i="16" s="1"/>
  <c r="K31" i="16"/>
  <c r="K46" i="16" s="1"/>
  <c r="L31" i="16"/>
  <c r="L46" i="16" s="1"/>
  <c r="M31" i="16"/>
  <c r="M46" i="16" s="1"/>
  <c r="N31" i="16"/>
  <c r="N46" i="16" s="1"/>
  <c r="O31" i="16"/>
  <c r="O46" i="16" s="1"/>
  <c r="P31" i="16"/>
  <c r="P46" i="16" s="1"/>
  <c r="Q31" i="16"/>
  <c r="Q46" i="16" s="1"/>
  <c r="R31" i="16"/>
  <c r="R46" i="16" s="1"/>
  <c r="S31" i="16"/>
  <c r="S46" i="16" s="1"/>
  <c r="T31" i="16"/>
  <c r="T46" i="16" s="1"/>
  <c r="U31" i="16"/>
  <c r="U46" i="16" s="1"/>
  <c r="V31" i="16"/>
  <c r="V46" i="16" s="1"/>
  <c r="C32" i="16"/>
  <c r="C47" i="16" s="1"/>
  <c r="D32" i="16"/>
  <c r="D47" i="16" s="1"/>
  <c r="E32" i="16"/>
  <c r="E47" i="16" s="1"/>
  <c r="F32" i="16"/>
  <c r="F47" i="16" s="1"/>
  <c r="G32" i="16"/>
  <c r="G47" i="16" s="1"/>
  <c r="H32" i="16"/>
  <c r="H47" i="16" s="1"/>
  <c r="I32" i="16"/>
  <c r="I47" i="16" s="1"/>
  <c r="J32" i="16"/>
  <c r="J47" i="16" s="1"/>
  <c r="K32" i="16"/>
  <c r="K47" i="16" s="1"/>
  <c r="L32" i="16"/>
  <c r="L47" i="16" s="1"/>
  <c r="M32" i="16"/>
  <c r="M47" i="16" s="1"/>
  <c r="N32" i="16"/>
  <c r="N47" i="16" s="1"/>
  <c r="O32" i="16"/>
  <c r="O47" i="16" s="1"/>
  <c r="P32" i="16"/>
  <c r="P47" i="16" s="1"/>
  <c r="Q32" i="16"/>
  <c r="Q47" i="16" s="1"/>
  <c r="R32" i="16"/>
  <c r="R47" i="16" s="1"/>
  <c r="S32" i="16"/>
  <c r="S47" i="16" s="1"/>
  <c r="T32" i="16"/>
  <c r="T47" i="16" s="1"/>
  <c r="U32" i="16"/>
  <c r="U47" i="16" s="1"/>
  <c r="V32" i="16"/>
  <c r="V47" i="16" s="1"/>
  <c r="C33" i="16"/>
  <c r="C48" i="16" s="1"/>
  <c r="D33" i="16"/>
  <c r="D48" i="16" s="1"/>
  <c r="E33" i="16"/>
  <c r="E48" i="16" s="1"/>
  <c r="F33" i="16"/>
  <c r="F48" i="16" s="1"/>
  <c r="G33" i="16"/>
  <c r="G48" i="16" s="1"/>
  <c r="H33" i="16"/>
  <c r="H48" i="16" s="1"/>
  <c r="I33" i="16"/>
  <c r="I48" i="16" s="1"/>
  <c r="J33" i="16"/>
  <c r="J48" i="16" s="1"/>
  <c r="K33" i="16"/>
  <c r="K48" i="16" s="1"/>
  <c r="L33" i="16"/>
  <c r="L48" i="16" s="1"/>
  <c r="M33" i="16"/>
  <c r="M48" i="16" s="1"/>
  <c r="N33" i="16"/>
  <c r="N48" i="16" s="1"/>
  <c r="O33" i="16"/>
  <c r="O48" i="16" s="1"/>
  <c r="P33" i="16"/>
  <c r="P48" i="16" s="1"/>
  <c r="Q33" i="16"/>
  <c r="Q48" i="16" s="1"/>
  <c r="R33" i="16"/>
  <c r="R48" i="16" s="1"/>
  <c r="S33" i="16"/>
  <c r="S48" i="16" s="1"/>
  <c r="T33" i="16"/>
  <c r="T48" i="16" s="1"/>
  <c r="U33" i="16"/>
  <c r="U48" i="16" s="1"/>
  <c r="V33" i="16"/>
  <c r="V48" i="16" s="1"/>
  <c r="C34" i="16"/>
  <c r="C49" i="16" s="1"/>
  <c r="D34" i="16"/>
  <c r="D49" i="16" s="1"/>
  <c r="E34" i="16"/>
  <c r="E49" i="16" s="1"/>
  <c r="F34" i="16"/>
  <c r="F49" i="16" s="1"/>
  <c r="G34" i="16"/>
  <c r="G49" i="16" s="1"/>
  <c r="H34" i="16"/>
  <c r="H49" i="16" s="1"/>
  <c r="I34" i="16"/>
  <c r="I49" i="16" s="1"/>
  <c r="J34" i="16"/>
  <c r="J49" i="16" s="1"/>
  <c r="K34" i="16"/>
  <c r="K49" i="16" s="1"/>
  <c r="L34" i="16"/>
  <c r="L49" i="16" s="1"/>
  <c r="M34" i="16"/>
  <c r="M49" i="16" s="1"/>
  <c r="N34" i="16"/>
  <c r="N49" i="16" s="1"/>
  <c r="O34" i="16"/>
  <c r="O49" i="16" s="1"/>
  <c r="P34" i="16"/>
  <c r="P49" i="16" s="1"/>
  <c r="Q34" i="16"/>
  <c r="Q49" i="16" s="1"/>
  <c r="R34" i="16"/>
  <c r="R49" i="16" s="1"/>
  <c r="S34" i="16"/>
  <c r="S49" i="16" s="1"/>
  <c r="T34" i="16"/>
  <c r="T49" i="16" s="1"/>
  <c r="U34" i="16"/>
  <c r="U49" i="16" s="1"/>
  <c r="V34" i="16"/>
  <c r="V49" i="16" s="1"/>
  <c r="C35" i="16"/>
  <c r="C50" i="16" s="1"/>
  <c r="D35" i="16"/>
  <c r="D50" i="16" s="1"/>
  <c r="E35" i="16"/>
  <c r="E50" i="16" s="1"/>
  <c r="F35" i="16"/>
  <c r="F50" i="16" s="1"/>
  <c r="G35" i="16"/>
  <c r="G50" i="16" s="1"/>
  <c r="H35" i="16"/>
  <c r="H50" i="16" s="1"/>
  <c r="I35" i="16"/>
  <c r="I50" i="16" s="1"/>
  <c r="J35" i="16"/>
  <c r="J50" i="16" s="1"/>
  <c r="K35" i="16"/>
  <c r="K50" i="16" s="1"/>
  <c r="L35" i="16"/>
  <c r="L50" i="16" s="1"/>
  <c r="M35" i="16"/>
  <c r="M50" i="16" s="1"/>
  <c r="N35" i="16"/>
  <c r="N50" i="16" s="1"/>
  <c r="O35" i="16"/>
  <c r="O50" i="16" s="1"/>
  <c r="P35" i="16"/>
  <c r="P50" i="16" s="1"/>
  <c r="Q35" i="16"/>
  <c r="Q50" i="16" s="1"/>
  <c r="R35" i="16"/>
  <c r="R50" i="16" s="1"/>
  <c r="S35" i="16"/>
  <c r="S50" i="16" s="1"/>
  <c r="T35" i="16"/>
  <c r="T50" i="16" s="1"/>
  <c r="U35" i="16"/>
  <c r="U50" i="16" s="1"/>
  <c r="V35" i="16"/>
  <c r="V50" i="16" s="1"/>
  <c r="C36" i="16"/>
  <c r="C51" i="16" s="1"/>
  <c r="D36" i="16"/>
  <c r="D51" i="16" s="1"/>
  <c r="E36" i="16"/>
  <c r="E51" i="16" s="1"/>
  <c r="F36" i="16"/>
  <c r="F51" i="16" s="1"/>
  <c r="G36" i="16"/>
  <c r="G51" i="16" s="1"/>
  <c r="H36" i="16"/>
  <c r="H51" i="16" s="1"/>
  <c r="I36" i="16"/>
  <c r="I51" i="16" s="1"/>
  <c r="J36" i="16"/>
  <c r="J51" i="16" s="1"/>
  <c r="K36" i="16"/>
  <c r="K51" i="16" s="1"/>
  <c r="L36" i="16"/>
  <c r="L51" i="16" s="1"/>
  <c r="M36" i="16"/>
  <c r="M51" i="16" s="1"/>
  <c r="N36" i="16"/>
  <c r="N51" i="16" s="1"/>
  <c r="O36" i="16"/>
  <c r="O51" i="16" s="1"/>
  <c r="P36" i="16"/>
  <c r="P51" i="16" s="1"/>
  <c r="Q36" i="16"/>
  <c r="Q51" i="16" s="1"/>
  <c r="R36" i="16"/>
  <c r="R51" i="16" s="1"/>
  <c r="S36" i="16"/>
  <c r="S51" i="16" s="1"/>
  <c r="T36" i="16"/>
  <c r="T51" i="16" s="1"/>
  <c r="U36" i="16"/>
  <c r="U51" i="16" s="1"/>
  <c r="V36" i="16"/>
  <c r="V51" i="16" s="1"/>
  <c r="C37" i="16"/>
  <c r="C52" i="16" s="1"/>
  <c r="D37" i="16"/>
  <c r="D52" i="16" s="1"/>
  <c r="E37" i="16"/>
  <c r="E52" i="16" s="1"/>
  <c r="F37" i="16"/>
  <c r="F52" i="16" s="1"/>
  <c r="G37" i="16"/>
  <c r="G52" i="16" s="1"/>
  <c r="H37" i="16"/>
  <c r="H52" i="16" s="1"/>
  <c r="I37" i="16"/>
  <c r="I52" i="16" s="1"/>
  <c r="J37" i="16"/>
  <c r="J52" i="16" s="1"/>
  <c r="K37" i="16"/>
  <c r="K52" i="16" s="1"/>
  <c r="L37" i="16"/>
  <c r="L52" i="16" s="1"/>
  <c r="M37" i="16"/>
  <c r="M52" i="16" s="1"/>
  <c r="N37" i="16"/>
  <c r="N52" i="16" s="1"/>
  <c r="O37" i="16"/>
  <c r="O52" i="16" s="1"/>
  <c r="P37" i="16"/>
  <c r="P52" i="16" s="1"/>
  <c r="Q37" i="16"/>
  <c r="Q52" i="16" s="1"/>
  <c r="R37" i="16"/>
  <c r="R52" i="16" s="1"/>
  <c r="S37" i="16"/>
  <c r="S52" i="16" s="1"/>
  <c r="T37" i="16"/>
  <c r="T52" i="16" s="1"/>
  <c r="U37" i="16"/>
  <c r="U52" i="16" s="1"/>
  <c r="V37" i="16"/>
  <c r="V52" i="16" s="1"/>
  <c r="C38" i="16"/>
  <c r="C53" i="16" s="1"/>
  <c r="D38" i="16"/>
  <c r="D53" i="16" s="1"/>
  <c r="E38" i="16"/>
  <c r="E53" i="16" s="1"/>
  <c r="F38" i="16"/>
  <c r="F53" i="16" s="1"/>
  <c r="G38" i="16"/>
  <c r="G53" i="16" s="1"/>
  <c r="H38" i="16"/>
  <c r="H53" i="16" s="1"/>
  <c r="I38" i="16"/>
  <c r="I53" i="16" s="1"/>
  <c r="J38" i="16"/>
  <c r="J53" i="16" s="1"/>
  <c r="K38" i="16"/>
  <c r="K53" i="16" s="1"/>
  <c r="L38" i="16"/>
  <c r="L53" i="16" s="1"/>
  <c r="M38" i="16"/>
  <c r="M53" i="16" s="1"/>
  <c r="N38" i="16"/>
  <c r="N53" i="16" s="1"/>
  <c r="O38" i="16"/>
  <c r="O53" i="16" s="1"/>
  <c r="P38" i="16"/>
  <c r="P53" i="16" s="1"/>
  <c r="Q38" i="16"/>
  <c r="Q53" i="16" s="1"/>
  <c r="R38" i="16"/>
  <c r="R53" i="16" s="1"/>
  <c r="S38" i="16"/>
  <c r="S53" i="16" s="1"/>
  <c r="T38" i="16"/>
  <c r="T53" i="16" s="1"/>
  <c r="U38" i="16"/>
  <c r="U53" i="16" s="1"/>
  <c r="V38" i="16"/>
  <c r="V53" i="16" s="1"/>
  <c r="C39" i="16"/>
  <c r="C54" i="16" s="1"/>
  <c r="D39" i="16"/>
  <c r="D54" i="16" s="1"/>
  <c r="E39" i="16"/>
  <c r="E54" i="16" s="1"/>
  <c r="F39" i="16"/>
  <c r="F54" i="16" s="1"/>
  <c r="G39" i="16"/>
  <c r="G54" i="16" s="1"/>
  <c r="H39" i="16"/>
  <c r="H54" i="16" s="1"/>
  <c r="I39" i="16"/>
  <c r="I54" i="16" s="1"/>
  <c r="J39" i="16"/>
  <c r="J54" i="16" s="1"/>
  <c r="K39" i="16"/>
  <c r="K54" i="16" s="1"/>
  <c r="L39" i="16"/>
  <c r="L54" i="16" s="1"/>
  <c r="M39" i="16"/>
  <c r="M54" i="16" s="1"/>
  <c r="N39" i="16"/>
  <c r="N54" i="16" s="1"/>
  <c r="O39" i="16"/>
  <c r="O54" i="16" s="1"/>
  <c r="P39" i="16"/>
  <c r="P54" i="16" s="1"/>
  <c r="Q39" i="16"/>
  <c r="Q54" i="16" s="1"/>
  <c r="R39" i="16"/>
  <c r="R54" i="16" s="1"/>
  <c r="S39" i="16"/>
  <c r="S54" i="16" s="1"/>
  <c r="T39" i="16"/>
  <c r="T54" i="16" s="1"/>
  <c r="U39" i="16"/>
  <c r="U54" i="16" s="1"/>
  <c r="V39" i="16"/>
  <c r="V54" i="16" s="1"/>
  <c r="B31" i="16"/>
  <c r="B46" i="16" s="1"/>
  <c r="B32" i="16"/>
  <c r="B47" i="16" s="1"/>
  <c r="B33" i="16"/>
  <c r="B48" i="16" s="1"/>
  <c r="B34" i="16"/>
  <c r="B49" i="16" s="1"/>
  <c r="B35" i="16"/>
  <c r="B50" i="16" s="1"/>
  <c r="B36" i="16"/>
  <c r="B51" i="16" s="1"/>
  <c r="B37" i="16"/>
  <c r="B52" i="16" s="1"/>
  <c r="B38" i="16"/>
  <c r="B53" i="16" s="1"/>
  <c r="B39" i="16"/>
  <c r="B54" i="16" s="1"/>
  <c r="B45" i="16"/>
  <c r="W52" i="16" l="1"/>
  <c r="K14" i="21" s="1"/>
  <c r="J14" i="21" s="1"/>
  <c r="W48" i="16"/>
  <c r="K10" i="21" s="1"/>
  <c r="W51" i="16"/>
  <c r="K13" i="21" s="1"/>
  <c r="J13" i="21" s="1"/>
  <c r="W47" i="16"/>
  <c r="K9" i="21" s="1"/>
  <c r="W50" i="16"/>
  <c r="K12" i="21" s="1"/>
  <c r="J12" i="21" s="1"/>
  <c r="W49" i="16"/>
  <c r="K11" i="21" s="1"/>
  <c r="W54" i="16"/>
  <c r="K16" i="21" s="1"/>
  <c r="J16" i="21" s="1"/>
  <c r="W46" i="16"/>
  <c r="K8" i="21" s="1"/>
  <c r="W45" i="16"/>
  <c r="K7" i="21" s="1"/>
  <c r="W53" i="16"/>
  <c r="K15" i="21" s="1"/>
  <c r="J15" i="21" s="1"/>
  <c r="J7" i="21" l="1"/>
  <c r="K21" i="21"/>
  <c r="J21" i="21" s="1"/>
  <c r="K22" i="21"/>
  <c r="J22" i="21" s="1"/>
  <c r="J8" i="21"/>
  <c r="J9" i="21"/>
  <c r="K23" i="21"/>
  <c r="J23" i="21" s="1"/>
  <c r="J11" i="21"/>
  <c r="K25" i="21"/>
  <c r="J25" i="21" s="1"/>
  <c r="J10" i="21"/>
  <c r="K24" i="21"/>
  <c r="J24" i="21" s="1"/>
  <c r="I63" i="19" l="1"/>
  <c r="I40" i="19"/>
  <c r="I17" i="19"/>
  <c r="I36" i="19"/>
  <c r="I13" i="19"/>
  <c r="I59" i="19"/>
  <c r="I39" i="19"/>
  <c r="I62" i="19"/>
  <c r="I16" i="19"/>
  <c r="I64" i="19"/>
  <c r="I41" i="19"/>
  <c r="I18" i="19"/>
  <c r="I56" i="19"/>
  <c r="I33" i="19"/>
  <c r="I10" i="19"/>
  <c r="I35" i="19"/>
  <c r="I58" i="19"/>
  <c r="I12" i="19"/>
  <c r="I14" i="19"/>
  <c r="I60" i="19"/>
  <c r="I37" i="19"/>
  <c r="I57" i="19"/>
  <c r="I11" i="19"/>
  <c r="I34" i="19"/>
  <c r="I61" i="19"/>
  <c r="I15" i="19"/>
  <c r="I38" i="19"/>
  <c r="I55" i="19"/>
  <c r="I32" i="19"/>
  <c r="B15" i="17" l="1"/>
  <c r="B16" i="17"/>
  <c r="B9" i="17"/>
  <c r="B13" i="17" l="1"/>
  <c r="B25" i="17"/>
  <c r="B12" i="17"/>
  <c r="B10" i="17"/>
  <c r="B26" i="17" l="1"/>
  <c r="B11" i="17"/>
  <c r="B14" i="17"/>
  <c r="B24" i="17"/>
  <c r="D25" i="17" l="1"/>
  <c r="C25" i="17"/>
  <c r="D23" i="17"/>
  <c r="D24" i="17"/>
  <c r="C24" i="17"/>
  <c r="D26" i="17"/>
  <c r="C26" i="17"/>
  <c r="B8" i="17" l="1"/>
  <c r="B27" i="17"/>
  <c r="B28" i="17" s="1"/>
  <c r="B17" i="17"/>
  <c r="B22" i="17"/>
  <c r="B7" i="17"/>
  <c r="B18" i="17" l="1"/>
  <c r="L7" i="17" s="1"/>
  <c r="D9" i="19" s="1"/>
  <c r="B23" i="17"/>
  <c r="C23" i="17"/>
  <c r="G25" i="17"/>
  <c r="L25" i="17" s="1"/>
  <c r="D25" i="19" s="1"/>
  <c r="G26" i="17"/>
  <c r="L26" i="17" s="1"/>
  <c r="D26" i="19" s="1"/>
  <c r="G23" i="17"/>
  <c r="G22" i="17"/>
  <c r="L22" i="17" s="1"/>
  <c r="D22" i="19" s="1"/>
  <c r="G24" i="17"/>
  <c r="L24" i="17" s="1"/>
  <c r="D24" i="19" s="1"/>
  <c r="G15" i="17"/>
  <c r="L15" i="17" s="1"/>
  <c r="D17" i="19" s="1"/>
  <c r="E17" i="19" s="1"/>
  <c r="G8" i="17"/>
  <c r="L8" i="17" s="1"/>
  <c r="D10" i="19" s="1"/>
  <c r="E10" i="19" s="1"/>
  <c r="G16" i="17"/>
  <c r="L16" i="17" s="1"/>
  <c r="D18" i="19" s="1"/>
  <c r="E18" i="19" s="1"/>
  <c r="C27" i="17"/>
  <c r="C28" i="17" s="1"/>
  <c r="D27" i="17"/>
  <c r="D28" i="17" s="1"/>
  <c r="D22" i="17"/>
  <c r="C22" i="17"/>
  <c r="G13" i="17" l="1"/>
  <c r="L13" i="17" s="1"/>
  <c r="D15" i="19" s="1"/>
  <c r="E15" i="19" s="1"/>
  <c r="G10" i="17"/>
  <c r="L10" i="17" s="1"/>
  <c r="D12" i="19" s="1"/>
  <c r="E12" i="19" s="1"/>
  <c r="G9" i="17"/>
  <c r="L9" i="17" s="1"/>
  <c r="D11" i="19" s="1"/>
  <c r="E11" i="19" s="1"/>
  <c r="G11" i="17"/>
  <c r="L11" i="17" s="1"/>
  <c r="D13" i="19" s="1"/>
  <c r="E13" i="19" s="1"/>
  <c r="G12" i="17"/>
  <c r="L12" i="17" s="1"/>
  <c r="D14" i="19" s="1"/>
  <c r="E14" i="19" s="1"/>
  <c r="G14" i="17"/>
  <c r="L14" i="17" s="1"/>
  <c r="D16" i="19" s="1"/>
  <c r="E16" i="19" s="1"/>
  <c r="L23" i="17"/>
  <c r="D23" i="19" s="1"/>
  <c r="I23" i="17"/>
  <c r="I24" i="17"/>
  <c r="I22" i="17"/>
  <c r="I25" i="17"/>
  <c r="I26" i="17"/>
  <c r="N26" i="17" s="1"/>
  <c r="D72" i="19" s="1"/>
  <c r="H23" i="17"/>
  <c r="H22" i="17"/>
  <c r="M22" i="17" s="1"/>
  <c r="D45" i="19" s="1"/>
  <c r="H24" i="17"/>
  <c r="M24" i="17" s="1"/>
  <c r="D47" i="19" s="1"/>
  <c r="H25" i="17"/>
  <c r="M25" i="17" s="1"/>
  <c r="D48" i="19" s="1"/>
  <c r="H26" i="17"/>
  <c r="N23" i="17"/>
  <c r="D69" i="19" s="1"/>
  <c r="E9" i="19"/>
  <c r="J28" i="18" l="1"/>
  <c r="J37" i="18" s="1"/>
  <c r="N24" i="17"/>
  <c r="D70" i="19" s="1"/>
  <c r="N25" i="17"/>
  <c r="D71" i="19" s="1"/>
  <c r="M26" i="17"/>
  <c r="D49" i="19" s="1"/>
  <c r="J38" i="18"/>
  <c r="M23" i="17"/>
  <c r="D46" i="19" s="1"/>
  <c r="N22" i="17"/>
  <c r="D68" i="19" s="1"/>
  <c r="J39" i="18" l="1"/>
  <c r="E49" i="19" l="1"/>
  <c r="E72" i="19"/>
  <c r="E26" i="19"/>
  <c r="E71" i="19"/>
  <c r="E48" i="19"/>
  <c r="E25" i="19"/>
  <c r="E70" i="19"/>
  <c r="E47" i="19"/>
  <c r="E24" i="19"/>
  <c r="E69" i="19"/>
  <c r="E46" i="19"/>
  <c r="E23" i="19"/>
  <c r="E68" i="19" l="1"/>
  <c r="E45" i="19"/>
  <c r="E22" i="19"/>
  <c r="O70" i="19"/>
  <c r="O47" i="19"/>
  <c r="O24" i="19"/>
  <c r="O68" i="19"/>
  <c r="P68" i="19" s="1"/>
  <c r="O22" i="19"/>
  <c r="P22" i="19" s="1"/>
  <c r="O45" i="19"/>
  <c r="O49" i="19"/>
  <c r="O72" i="19"/>
  <c r="O26" i="19"/>
  <c r="O25" i="19" l="1"/>
  <c r="O71" i="19"/>
  <c r="O48" i="19"/>
  <c r="O46" i="19"/>
  <c r="P46" i="19" s="1"/>
  <c r="O69" i="19"/>
  <c r="P69" i="19" s="1"/>
  <c r="O23" i="19"/>
  <c r="P23" i="19" s="1"/>
  <c r="P45" i="19"/>
  <c r="P49" i="19" l="1"/>
  <c r="P47" i="19"/>
  <c r="P48" i="19"/>
  <c r="P71" i="19"/>
  <c r="P72" i="19"/>
  <c r="P24" i="19"/>
  <c r="P25" i="19"/>
  <c r="P70" i="19"/>
  <c r="P26" i="19"/>
  <c r="C24" i="19" l="1"/>
  <c r="C22" i="24" s="1"/>
  <c r="C47" i="19"/>
  <c r="F47" i="19" s="1"/>
  <c r="E22" i="24" s="1"/>
  <c r="C45" i="19"/>
  <c r="F45" i="19" s="1"/>
  <c r="E20" i="24" s="1"/>
  <c r="F24" i="19" l="1"/>
  <c r="D22" i="24" s="1"/>
  <c r="Q45" i="19"/>
  <c r="Q47" i="19"/>
  <c r="C22" i="19"/>
  <c r="C20" i="24" s="1"/>
  <c r="C14" i="19"/>
  <c r="C10" i="24" s="1"/>
  <c r="C15" i="19"/>
  <c r="C11" i="24" s="1"/>
  <c r="C16" i="19"/>
  <c r="C12" i="24" s="1"/>
  <c r="Q24" i="19" l="1"/>
  <c r="C70" i="19"/>
  <c r="F70" i="19" s="1"/>
  <c r="Q70" i="19" s="1"/>
  <c r="F22" i="19"/>
  <c r="D20" i="24" s="1"/>
  <c r="C26" i="19"/>
  <c r="C24" i="24" s="1"/>
  <c r="C49" i="19"/>
  <c r="F49" i="19" s="1"/>
  <c r="E24" i="24" s="1"/>
  <c r="C18" i="19"/>
  <c r="C14" i="24" s="1"/>
  <c r="C39" i="19"/>
  <c r="E12" i="24" s="1"/>
  <c r="F16" i="19"/>
  <c r="D12" i="24" s="1"/>
  <c r="C37" i="19"/>
  <c r="E10" i="24" s="1"/>
  <c r="F14" i="19"/>
  <c r="D10" i="24" s="1"/>
  <c r="C11" i="19"/>
  <c r="C7" i="24" s="1"/>
  <c r="C38" i="19"/>
  <c r="E11" i="24" s="1"/>
  <c r="F15" i="19"/>
  <c r="D11" i="24" s="1"/>
  <c r="C13" i="19"/>
  <c r="C9" i="24" s="1"/>
  <c r="C48" i="19"/>
  <c r="F48" i="19" s="1"/>
  <c r="E23" i="24" s="1"/>
  <c r="C25" i="19"/>
  <c r="C23" i="24" s="1"/>
  <c r="F25" i="19" l="1"/>
  <c r="D23" i="24" s="1"/>
  <c r="F26" i="19"/>
  <c r="D24" i="24" s="1"/>
  <c r="Q49" i="19"/>
  <c r="C38" i="18" s="1"/>
  <c r="G38" i="18" s="1"/>
  <c r="Q22" i="19"/>
  <c r="Q48" i="19"/>
  <c r="C68" i="19"/>
  <c r="F68" i="19" s="1"/>
  <c r="Q68" i="19" s="1"/>
  <c r="C36" i="19"/>
  <c r="E9" i="24" s="1"/>
  <c r="F13" i="19"/>
  <c r="D9" i="24" s="1"/>
  <c r="C60" i="19"/>
  <c r="J14" i="19"/>
  <c r="C41" i="19"/>
  <c r="E14" i="24" s="1"/>
  <c r="F18" i="19"/>
  <c r="D14" i="24" s="1"/>
  <c r="C12" i="19"/>
  <c r="C8" i="24" s="1"/>
  <c r="C61" i="19"/>
  <c r="J15" i="19"/>
  <c r="J37" i="19"/>
  <c r="J38" i="19"/>
  <c r="C34" i="19"/>
  <c r="E7" i="24" s="1"/>
  <c r="F11" i="19"/>
  <c r="D7" i="24" s="1"/>
  <c r="J16" i="19"/>
  <c r="C62" i="19"/>
  <c r="C9" i="19"/>
  <c r="C5" i="24" s="1"/>
  <c r="C17" i="19"/>
  <c r="C13" i="24" s="1"/>
  <c r="J39" i="19"/>
  <c r="B38" i="18" l="1"/>
  <c r="F38" i="18" s="1"/>
  <c r="Q26" i="19"/>
  <c r="B37" i="18" s="1"/>
  <c r="F37" i="18" s="1"/>
  <c r="C71" i="19"/>
  <c r="F71" i="19" s="1"/>
  <c r="Q71" i="19" s="1"/>
  <c r="Q25" i="19"/>
  <c r="C72" i="19"/>
  <c r="F72" i="19" s="1"/>
  <c r="Q72" i="19" s="1"/>
  <c r="C39" i="18" s="1"/>
  <c r="C37" i="18"/>
  <c r="G37" i="18" s="1"/>
  <c r="C46" i="19"/>
  <c r="F46" i="19" s="1"/>
  <c r="E21" i="24" s="1"/>
  <c r="C23" i="19"/>
  <c r="C21" i="24" s="1"/>
  <c r="C32" i="19"/>
  <c r="E5" i="24" s="1"/>
  <c r="F9" i="19"/>
  <c r="D5" i="24" s="1"/>
  <c r="J11" i="19"/>
  <c r="C57" i="19"/>
  <c r="C35" i="19"/>
  <c r="E8" i="24" s="1"/>
  <c r="F12" i="19"/>
  <c r="D8" i="24" s="1"/>
  <c r="J60" i="19"/>
  <c r="J34" i="19"/>
  <c r="C64" i="19"/>
  <c r="J18" i="19"/>
  <c r="J62" i="19"/>
  <c r="J61" i="19"/>
  <c r="J41" i="19"/>
  <c r="J13" i="19"/>
  <c r="C59" i="19"/>
  <c r="C40" i="19"/>
  <c r="E13" i="24" s="1"/>
  <c r="F17" i="19"/>
  <c r="D13" i="24" s="1"/>
  <c r="C10" i="19"/>
  <c r="C6" i="24" s="1"/>
  <c r="C16" i="24" s="1"/>
  <c r="J36" i="19"/>
  <c r="C15" i="24" l="1"/>
  <c r="C26" i="24"/>
  <c r="C25" i="24"/>
  <c r="E26" i="24"/>
  <c r="E25" i="24"/>
  <c r="F23" i="19"/>
  <c r="D21" i="24" s="1"/>
  <c r="Q46" i="19"/>
  <c r="D38" i="18" s="1"/>
  <c r="E38" i="18" s="1"/>
  <c r="I38" i="18" s="1"/>
  <c r="B39" i="18"/>
  <c r="F39" i="18" s="1"/>
  <c r="G39" i="18"/>
  <c r="Q23" i="19"/>
  <c r="D37" i="18" s="1"/>
  <c r="J17" i="19"/>
  <c r="C63" i="19"/>
  <c r="J32" i="19"/>
  <c r="J40" i="19"/>
  <c r="J57" i="19"/>
  <c r="C33" i="19"/>
  <c r="E6" i="24" s="1"/>
  <c r="E16" i="24" s="1"/>
  <c r="F10" i="19"/>
  <c r="D6" i="24" s="1"/>
  <c r="D16" i="24" s="1"/>
  <c r="J59" i="19"/>
  <c r="J64" i="19"/>
  <c r="J12" i="19"/>
  <c r="C58" i="19"/>
  <c r="J35" i="19"/>
  <c r="C55" i="19"/>
  <c r="J9" i="19"/>
  <c r="E15" i="24" l="1"/>
  <c r="D15" i="24"/>
  <c r="D26" i="24"/>
  <c r="D25" i="24"/>
  <c r="H38" i="18"/>
  <c r="K38" i="18" s="1"/>
  <c r="C69" i="19"/>
  <c r="F69" i="19" s="1"/>
  <c r="Q69" i="19" s="1"/>
  <c r="D39" i="18" s="1"/>
  <c r="E39" i="18" s="1"/>
  <c r="H15" i="19"/>
  <c r="E37" i="18"/>
  <c r="I37" i="18" s="1"/>
  <c r="H37" i="18"/>
  <c r="K37" i="18" s="1"/>
  <c r="H9" i="19"/>
  <c r="H14" i="19"/>
  <c r="H12" i="19"/>
  <c r="H17" i="19"/>
  <c r="H16" i="19"/>
  <c r="J33" i="19"/>
  <c r="J55" i="19"/>
  <c r="J58" i="19"/>
  <c r="C56" i="19"/>
  <c r="J10" i="19"/>
  <c r="H10" i="19"/>
  <c r="H13" i="19"/>
  <c r="H11" i="19"/>
  <c r="H18" i="19"/>
  <c r="J63" i="19"/>
  <c r="H39" i="18" l="1"/>
  <c r="K39" i="18" s="1"/>
  <c r="I39" i="18"/>
  <c r="O10" i="19"/>
  <c r="N10" i="19"/>
  <c r="Q10" i="19"/>
  <c r="Q17" i="19"/>
  <c r="Q13" i="19"/>
  <c r="O12" i="19"/>
  <c r="N13" i="19"/>
  <c r="O13" i="19"/>
  <c r="N9" i="19"/>
  <c r="Q16" i="19"/>
  <c r="Q11" i="19"/>
  <c r="O18" i="19"/>
  <c r="O9" i="19"/>
  <c r="P9" i="19" s="1"/>
  <c r="Q12" i="19"/>
  <c r="O11" i="19"/>
  <c r="N14" i="19"/>
  <c r="N12" i="19"/>
  <c r="N17" i="19"/>
  <c r="O17" i="19"/>
  <c r="Q9" i="19"/>
  <c r="O15" i="19"/>
  <c r="N16" i="19"/>
  <c r="N11" i="19"/>
  <c r="Q18" i="19"/>
  <c r="J56" i="19"/>
  <c r="N18" i="19"/>
  <c r="Q14" i="19"/>
  <c r="O14" i="19"/>
  <c r="Q15" i="19"/>
  <c r="N15" i="19"/>
  <c r="O16" i="19"/>
  <c r="B28" i="18" l="1"/>
  <c r="F28" i="18" s="1"/>
  <c r="L28" i="18" s="1"/>
  <c r="P17" i="19"/>
  <c r="P16" i="19"/>
  <c r="P15" i="19"/>
  <c r="P11" i="19"/>
  <c r="C28" i="18"/>
  <c r="G28" i="18" s="1"/>
  <c r="P12" i="19"/>
  <c r="P14" i="19"/>
  <c r="P10" i="19"/>
  <c r="P18" i="19"/>
  <c r="P13" i="19"/>
  <c r="L29" i="18"/>
  <c r="D28" i="18" l="1"/>
  <c r="H28" i="18" s="1"/>
  <c r="K28" i="18" s="1"/>
  <c r="D29" i="18"/>
  <c r="H29" i="18" s="1"/>
  <c r="K29" i="18" s="1"/>
  <c r="L30" i="18"/>
  <c r="E28" i="18" l="1"/>
  <c r="I28" i="18" s="1"/>
  <c r="E29" i="18"/>
  <c r="I29" i="18" s="1"/>
  <c r="D30" i="18"/>
  <c r="E30" i="18" s="1"/>
  <c r="I30" i="18" l="1"/>
  <c r="H30" i="18"/>
  <c r="K30" i="18" s="1"/>
</calcChain>
</file>

<file path=xl/sharedStrings.xml><?xml version="1.0" encoding="utf-8"?>
<sst xmlns="http://schemas.openxmlformats.org/spreadsheetml/2006/main" count="502" uniqueCount="129">
  <si>
    <t>SES2</t>
  </si>
  <si>
    <t>SES3</t>
  </si>
  <si>
    <t>SES4</t>
  </si>
  <si>
    <t>SES5</t>
  </si>
  <si>
    <t>SES1</t>
  </si>
  <si>
    <t>Population</t>
  </si>
  <si>
    <t>Subgroup</t>
  </si>
  <si>
    <t>S1</t>
  </si>
  <si>
    <t>S2</t>
  </si>
  <si>
    <t>S3</t>
  </si>
  <si>
    <t>S4</t>
  </si>
  <si>
    <t>S5</t>
  </si>
  <si>
    <t>N1</t>
  </si>
  <si>
    <t>N2</t>
  </si>
  <si>
    <t>N3</t>
  </si>
  <si>
    <t>N4</t>
  </si>
  <si>
    <t>N5</t>
  </si>
  <si>
    <t>Total</t>
  </si>
  <si>
    <t>SII</t>
  </si>
  <si>
    <t>RII</t>
  </si>
  <si>
    <t>Group</t>
  </si>
  <si>
    <t>Fractional rank</t>
  </si>
  <si>
    <t>Absolute gap</t>
  </si>
  <si>
    <t>Relative gap</t>
  </si>
  <si>
    <t>Calculation</t>
  </si>
  <si>
    <t>Data</t>
  </si>
  <si>
    <t>Exercise cell</t>
  </si>
  <si>
    <t>Population fraction</t>
  </si>
  <si>
    <t>Incremental cost</t>
  </si>
  <si>
    <t>Infectious disease</t>
  </si>
  <si>
    <t>Cancers and tumours</t>
  </si>
  <si>
    <t>Blood disorders</t>
  </si>
  <si>
    <t>Endocrine, nutritional</t>
  </si>
  <si>
    <t>Mental health</t>
  </si>
  <si>
    <t>Learning disability</t>
  </si>
  <si>
    <t>Neurological</t>
  </si>
  <si>
    <t>Vision problems</t>
  </si>
  <si>
    <t>Hearing problems</t>
  </si>
  <si>
    <t>Circulatory disease</t>
  </si>
  <si>
    <t>Respiratory disease</t>
  </si>
  <si>
    <t>Dental problems</t>
  </si>
  <si>
    <t>Gastrointestinal system</t>
  </si>
  <si>
    <t>Skin problems</t>
  </si>
  <si>
    <t>Musculoskeletal system</t>
  </si>
  <si>
    <t>Trauma &amp; injuries</t>
  </si>
  <si>
    <t>Genitourinary system</t>
  </si>
  <si>
    <t>Maternity</t>
  </si>
  <si>
    <t>Neonate</t>
  </si>
  <si>
    <t>Poisoning</t>
  </si>
  <si>
    <t>Healthy individuals</t>
  </si>
  <si>
    <t>% Opportunity cost</t>
  </si>
  <si>
    <t>Baseline health</t>
  </si>
  <si>
    <t>10 Social Subgroups</t>
  </si>
  <si>
    <t>No NRT</t>
  </si>
  <si>
    <t>Universal NRT</t>
  </si>
  <si>
    <t>Proportional Universal NRT</t>
  </si>
  <si>
    <t>Live</t>
  </si>
  <si>
    <t>Estimated</t>
  </si>
  <si>
    <t>User defined</t>
  </si>
  <si>
    <t>%</t>
  </si>
  <si>
    <t>Cost impact</t>
  </si>
  <si>
    <t>5 Socioeconomic Groups</t>
  </si>
  <si>
    <t>SES Quintile</t>
  </si>
  <si>
    <t>Net health benefit</t>
  </si>
  <si>
    <t>Universal vs No NRT</t>
  </si>
  <si>
    <t>Proportional Universal vs No NRT</t>
  </si>
  <si>
    <t>Proportion Universal vs Universal</t>
  </si>
  <si>
    <t>New rank</t>
  </si>
  <si>
    <t>Pop. Fraction</t>
  </si>
  <si>
    <t>Pop Fraction</t>
  </si>
  <si>
    <t>Equity impact analysis</t>
  </si>
  <si>
    <t>Unfair health distribution: SES and North-South</t>
  </si>
  <si>
    <t>Inequality measures</t>
  </si>
  <si>
    <t>Equity benefit from baseline</t>
  </si>
  <si>
    <t>Incremental comparison</t>
  </si>
  <si>
    <t>SII * 10,000</t>
  </si>
  <si>
    <t>Baseline</t>
  </si>
  <si>
    <t>Proportional Universal vs Universal</t>
  </si>
  <si>
    <t>Unfair health distribution: SES only</t>
  </si>
  <si>
    <t>PI HALE</t>
  </si>
  <si>
    <t>HALE</t>
  </si>
  <si>
    <t>Health opportunity costs (proportion by disease area)</t>
  </si>
  <si>
    <t>Distribution of health opportunity cost by social group - all, respiratory and cancer</t>
  </si>
  <si>
    <r>
      <rPr>
        <b/>
        <sz val="12"/>
        <color theme="1"/>
        <rFont val="Calibri"/>
        <family val="2"/>
        <scheme val="minor"/>
      </rPr>
      <t>Note</t>
    </r>
    <r>
      <rPr>
        <sz val="11"/>
        <color theme="1"/>
        <rFont val="Arial"/>
        <family val="2"/>
      </rPr>
      <t>: "No NRT" has positive health benefits and cost savings due to people quitting smoking on their own, without the benefit of publicly funded NRT.</t>
    </r>
  </si>
  <si>
    <t>SES Group</t>
  </si>
  <si>
    <t>Total health opportunity cost</t>
  </si>
  <si>
    <t>Health opportunity costs by group</t>
  </si>
  <si>
    <t>Net health benefit by group</t>
  </si>
  <si>
    <t>Summarising the findings using equity metrics and the equity impact plane</t>
  </si>
  <si>
    <t>Cost-per-HALY of forgone alternatives</t>
  </si>
  <si>
    <t>Optional input</t>
  </si>
  <si>
    <t>Cells are colour coded as follows:</t>
  </si>
  <si>
    <t>Exercise 9: Health opportunity costs and final health (post-decision)</t>
  </si>
  <si>
    <t>Calculating the distribution of health opportunity cost</t>
  </si>
  <si>
    <t>Input Data Table 1: Distribution of health opportunity costs by disease area estimated by Claxton et al. (2015)</t>
  </si>
  <si>
    <t>Input Data Table 2: Hospital inpatient episodes by social subgroup and disease area</t>
  </si>
  <si>
    <t>Calculation Table 2: Health opportunity cost (proportion of 1 HALY)</t>
  </si>
  <si>
    <t>Calculation Table 1: Proportion of hospital inpatient episodes within each disease area by social subgroup</t>
  </si>
  <si>
    <t>This sheet starts with two input data tables and then proceeds to the two student calculation tables.  
The tables are wide because columns are needed for all 21 different disease areas.</t>
  </si>
  <si>
    <t>Disease areas:</t>
  </si>
  <si>
    <t>Outputs from Exercises 7, 8 and 9 needed for calculating net benefits</t>
  </si>
  <si>
    <t>Health effects by social sub-group and total costs of the three programmes</t>
  </si>
  <si>
    <t>Calculation of net health benefit (health effect minus health opportunity cost)</t>
  </si>
  <si>
    <t>Incremental health effects by group, and incremental total cost to the NHS budget</t>
  </si>
  <si>
    <t>10 social subgroups</t>
  </si>
  <si>
    <t>5 socioeconomic groups</t>
  </si>
  <si>
    <t>Calculating the post-decision health rank</t>
  </si>
  <si>
    <t>Final distribution ranked by socioeconomic status</t>
  </si>
  <si>
    <t>Final distribution ranked by health status</t>
  </si>
  <si>
    <t>Final health (HALE)</t>
  </si>
  <si>
    <t>Baseline health (HALE)</t>
  </si>
  <si>
    <t>Net health benefit per person (HALE)</t>
  </si>
  <si>
    <t>Calculation of final health distributions (post-decision)</t>
  </si>
  <si>
    <t>This sheet calculates the final health distributions (post-decision) for Universal NRT and Proportional Universal NRT, by 10 SES-North-South subgroups and 5 SES groups.</t>
  </si>
  <si>
    <t>Health rank 
(1 = worst)</t>
  </si>
  <si>
    <t>Social rank (1 = lowest)</t>
  </si>
  <si>
    <t>Net health benefit 
(total HALYs)</t>
  </si>
  <si>
    <t>Proportional Universal NRT (Calculation Based on Incremental Comparison with Universal NRT as the Baseline)</t>
  </si>
  <si>
    <t>Universal NRT (Calculation Based on Incremental Comparison with No NRT as the Baseline)</t>
  </si>
  <si>
    <t>Proportional Universal NRT (Calculation Based on Incremental Comparison with No NRT as the Baseline)</t>
  </si>
  <si>
    <t>1 most deprived</t>
  </si>
  <si>
    <t>5 least deprived</t>
  </si>
  <si>
    <t>SES group</t>
  </si>
  <si>
    <t>Mean (allowing for population size)</t>
  </si>
  <si>
    <t>Group mean (not allowing for population size)</t>
  </si>
  <si>
    <r>
      <rPr>
        <b/>
        <sz val="14"/>
        <color theme="1"/>
        <rFont val="Arial"/>
        <family val="2"/>
      </rPr>
      <t xml:space="preserve">Summary of final health distributions </t>
    </r>
    <r>
      <rPr>
        <b/>
        <sz val="12"/>
        <color theme="1"/>
        <rFont val="Arial"/>
        <family val="2"/>
      </rPr>
      <t xml:space="preserve">
(used later in Exercises 11, 12, 13 and 14 on evaluating distributions)</t>
    </r>
  </si>
  <si>
    <t>(Scroll down to see the yellow calculation cells that need completing)</t>
  </si>
  <si>
    <t>Absolute gap * 10,000</t>
  </si>
  <si>
    <t>Student short version, Revised April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</si>
</sst>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quot;#,##0_);[Red]\(&quot;£&quot;#,##0\)"/>
    <numFmt numFmtId="165" formatCode="0.00000"/>
    <numFmt numFmtId="166" formatCode="0.000"/>
    <numFmt numFmtId="167" formatCode="0.0000"/>
    <numFmt numFmtId="168" formatCode="0.0%"/>
    <numFmt numFmtId="169" formatCode="#,##0.000"/>
    <numFmt numFmtId="170" formatCode="&quot;£&quot;#,##0"/>
    <numFmt numFmtId="171" formatCode="#,##0.00000"/>
    <numFmt numFmtId="172" formatCode="0.000000"/>
    <numFmt numFmtId="173" formatCode="0.0000000"/>
  </numFmts>
  <fonts count="25" x14ac:knownFonts="1">
    <font>
      <sz val="11"/>
      <color theme="1"/>
      <name val="Arial"/>
      <family val="2"/>
    </font>
    <font>
      <sz val="11"/>
      <color theme="1"/>
      <name val="Calibri"/>
      <family val="2"/>
      <scheme val="minor"/>
    </font>
    <font>
      <sz val="11"/>
      <color theme="1"/>
      <name val="Calibri"/>
      <family val="2"/>
      <scheme val="minor"/>
    </font>
    <font>
      <sz val="11"/>
      <color theme="0"/>
      <name val="Arial"/>
      <family val="2"/>
    </font>
    <font>
      <sz val="10"/>
      <name val="Arial"/>
      <family val="2"/>
    </font>
    <font>
      <sz val="10"/>
      <color theme="0"/>
      <name val="Arial"/>
      <family val="2"/>
    </font>
    <font>
      <b/>
      <sz val="11"/>
      <color theme="1"/>
      <name val="Arial"/>
      <family val="2"/>
    </font>
    <font>
      <b/>
      <sz val="12"/>
      <color theme="1"/>
      <name val="Arial"/>
      <family val="2"/>
    </font>
    <font>
      <sz val="10"/>
      <color theme="1"/>
      <name val="Arial"/>
      <family val="2"/>
    </font>
    <font>
      <b/>
      <sz val="10"/>
      <color theme="1"/>
      <name val="Arial"/>
      <family val="2"/>
    </font>
    <font>
      <b/>
      <sz val="10"/>
      <color theme="0"/>
      <name val="Arial"/>
      <family val="2"/>
    </font>
    <font>
      <u/>
      <sz val="11"/>
      <color theme="10"/>
      <name val="Arial"/>
      <family val="2"/>
    </font>
    <font>
      <u/>
      <sz val="11"/>
      <color theme="11"/>
      <name val="Arial"/>
      <family val="2"/>
    </font>
    <font>
      <sz val="11"/>
      <color theme="1"/>
      <name val="Arial"/>
      <family val="2"/>
    </font>
    <font>
      <b/>
      <sz val="18"/>
      <color theme="1"/>
      <name val="Arial"/>
      <family val="2"/>
    </font>
    <font>
      <sz val="10"/>
      <color rgb="FFC00000"/>
      <name val="Arial"/>
      <family val="2"/>
    </font>
    <font>
      <b/>
      <sz val="11"/>
      <color rgb="FFC00000"/>
      <name val="Arial"/>
      <family val="2"/>
    </font>
    <font>
      <b/>
      <sz val="14"/>
      <color theme="1"/>
      <name val="Arial"/>
      <family val="2"/>
    </font>
    <font>
      <sz val="12"/>
      <color theme="1"/>
      <name val="Calibri"/>
      <family val="2"/>
      <scheme val="minor"/>
    </font>
    <font>
      <sz val="10"/>
      <color theme="1"/>
      <name val="Calibri"/>
      <family val="2"/>
      <scheme val="minor"/>
    </font>
    <font>
      <b/>
      <sz val="12"/>
      <color theme="1"/>
      <name val="Calibri"/>
      <family val="2"/>
      <scheme val="minor"/>
    </font>
    <font>
      <sz val="12"/>
      <color theme="1"/>
      <name val="Arial"/>
      <family val="2"/>
    </font>
    <font>
      <sz val="12"/>
      <color theme="0"/>
      <name val="Calibri"/>
      <family val="2"/>
      <scheme val="minor"/>
    </font>
    <font>
      <b/>
      <sz val="16"/>
      <color theme="1"/>
      <name val="Arial"/>
      <family val="2"/>
    </font>
    <font>
      <b/>
      <sz val="14"/>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1"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theme="7"/>
        <bgColor indexed="64"/>
      </patternFill>
    </fill>
    <fill>
      <patternFill patternType="solid">
        <fgColor theme="1" tint="0.24994659260841701"/>
        <bgColor indexed="64"/>
      </patternFill>
    </fill>
    <fill>
      <patternFill patternType="lightUp">
        <bgColor theme="0"/>
      </patternFill>
    </fill>
    <fill>
      <patternFill patternType="solid">
        <fgColor rgb="FFFFFF0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4"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2" fillId="0" borderId="0"/>
    <xf numFmtId="9" fontId="2" fillId="0" borderId="0" applyFont="0" applyFill="0" applyBorder="0" applyAlignment="0" applyProtection="0"/>
    <xf numFmtId="0" fontId="18" fillId="0" borderId="0"/>
    <xf numFmtId="9" fontId="18" fillId="0" borderId="0" applyFont="0" applyFill="0" applyBorder="0" applyAlignment="0" applyProtection="0"/>
  </cellStyleXfs>
  <cellXfs count="170">
    <xf numFmtId="0" fontId="0" fillId="0" borderId="0" xfId="0"/>
    <xf numFmtId="0" fontId="0" fillId="4" borderId="4" xfId="0" applyFill="1" applyBorder="1"/>
    <xf numFmtId="0" fontId="0" fillId="4" borderId="1" xfId="0" applyFill="1" applyBorder="1"/>
    <xf numFmtId="0" fontId="0" fillId="4" borderId="3" xfId="0" applyFill="1" applyBorder="1"/>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6" fillId="4" borderId="2" xfId="0" applyFont="1" applyFill="1" applyBorder="1" applyAlignment="1">
      <alignment horizontal="center"/>
    </xf>
    <xf numFmtId="0" fontId="6" fillId="0" borderId="0" xfId="0" applyFont="1"/>
    <xf numFmtId="0" fontId="14" fillId="0" borderId="0" xfId="0" applyFont="1" applyAlignment="1"/>
    <xf numFmtId="0" fontId="6" fillId="2" borderId="12" xfId="0" applyFont="1" applyFill="1" applyBorder="1" applyAlignment="1">
      <alignment horizontal="center"/>
    </xf>
    <xf numFmtId="0" fontId="6" fillId="5" borderId="12" xfId="0" applyFont="1" applyFill="1" applyBorder="1" applyAlignment="1">
      <alignment horizontal="center"/>
    </xf>
    <xf numFmtId="0" fontId="16" fillId="0" borderId="12" xfId="0" applyFont="1" applyBorder="1" applyAlignment="1">
      <alignment horizontal="center"/>
    </xf>
    <xf numFmtId="0" fontId="6" fillId="6" borderId="12" xfId="0" applyFont="1" applyFill="1" applyBorder="1" applyAlignment="1">
      <alignment horizontal="center"/>
    </xf>
    <xf numFmtId="0" fontId="7" fillId="0" borderId="0" xfId="10" applyFont="1"/>
    <xf numFmtId="0" fontId="18" fillId="0" borderId="0" xfId="10"/>
    <xf numFmtId="0" fontId="5" fillId="3" borderId="0" xfId="10" applyFont="1" applyFill="1" applyBorder="1" applyAlignment="1">
      <alignment horizontal="center" vertical="center" wrapText="1"/>
    </xf>
    <xf numFmtId="0" fontId="5" fillId="3" borderId="5" xfId="10" applyFont="1" applyFill="1" applyBorder="1" applyAlignment="1">
      <alignment horizontal="center" vertical="center" wrapText="1"/>
    </xf>
    <xf numFmtId="0" fontId="5" fillId="3" borderId="6" xfId="10" applyFont="1" applyFill="1" applyBorder="1" applyAlignment="1">
      <alignment horizontal="center" vertical="center" wrapText="1"/>
    </xf>
    <xf numFmtId="10" fontId="15" fillId="4" borderId="7" xfId="11" applyNumberFormat="1" applyFont="1" applyFill="1" applyBorder="1" applyAlignment="1">
      <alignment horizontal="center"/>
    </xf>
    <xf numFmtId="10" fontId="15" fillId="4" borderId="8" xfId="11" applyNumberFormat="1" applyFont="1" applyFill="1" applyBorder="1" applyAlignment="1">
      <alignment horizontal="center"/>
    </xf>
    <xf numFmtId="3" fontId="15" fillId="4" borderId="0" xfId="10" applyNumberFormat="1" applyFont="1" applyFill="1" applyBorder="1" applyAlignment="1">
      <alignment horizontal="center"/>
    </xf>
    <xf numFmtId="3" fontId="15" fillId="8" borderId="0" xfId="10" applyNumberFormat="1" applyFont="1" applyFill="1" applyBorder="1" applyAlignment="1">
      <alignment horizontal="center"/>
    </xf>
    <xf numFmtId="0" fontId="10" fillId="3" borderId="0" xfId="10" applyFont="1" applyFill="1" applyBorder="1" applyAlignment="1">
      <alignment vertical="center"/>
    </xf>
    <xf numFmtId="0" fontId="17" fillId="0" borderId="0" xfId="10" applyFont="1"/>
    <xf numFmtId="0" fontId="18" fillId="0" borderId="0" xfId="10" applyAlignment="1">
      <alignment vertical="center"/>
    </xf>
    <xf numFmtId="0" fontId="7" fillId="0" borderId="0" xfId="10" applyFont="1" applyAlignment="1">
      <alignment vertical="center"/>
    </xf>
    <xf numFmtId="0" fontId="6" fillId="0" borderId="0" xfId="10" applyFont="1"/>
    <xf numFmtId="0" fontId="5" fillId="3" borderId="2" xfId="10" applyFont="1" applyFill="1" applyBorder="1" applyAlignment="1">
      <alignment horizontal="center" vertical="center" wrapText="1"/>
    </xf>
    <xf numFmtId="0" fontId="5" fillId="3" borderId="3" xfId="10" applyFont="1" applyFill="1" applyBorder="1" applyAlignment="1">
      <alignment horizontal="center" vertical="center" wrapText="1"/>
    </xf>
    <xf numFmtId="0" fontId="5" fillId="3" borderId="1" xfId="10" applyFont="1" applyFill="1" applyBorder="1" applyAlignment="1">
      <alignment horizontal="center" vertical="center" wrapText="1"/>
    </xf>
    <xf numFmtId="0" fontId="5" fillId="7" borderId="0" xfId="10" applyFont="1" applyFill="1" applyBorder="1" applyAlignment="1">
      <alignment horizontal="center"/>
    </xf>
    <xf numFmtId="169" fontId="8" fillId="2" borderId="4" xfId="10" applyNumberFormat="1" applyFont="1" applyFill="1" applyBorder="1" applyAlignment="1">
      <alignment horizontal="center"/>
    </xf>
    <xf numFmtId="169" fontId="8" fillId="2" borderId="0" xfId="10" applyNumberFormat="1" applyFont="1" applyFill="1" applyBorder="1" applyAlignment="1">
      <alignment horizontal="center"/>
    </xf>
    <xf numFmtId="169" fontId="8" fillId="6" borderId="5" xfId="10" applyNumberFormat="1" applyFont="1" applyFill="1" applyBorder="1" applyAlignment="1">
      <alignment horizontal="center"/>
    </xf>
    <xf numFmtId="0" fontId="5" fillId="7" borderId="7" xfId="10" applyFont="1" applyFill="1" applyBorder="1" applyAlignment="1">
      <alignment horizontal="center"/>
    </xf>
    <xf numFmtId="169" fontId="8" fillId="2" borderId="6" xfId="10" applyNumberFormat="1" applyFont="1" applyFill="1" applyBorder="1" applyAlignment="1">
      <alignment horizontal="center"/>
    </xf>
    <xf numFmtId="169" fontId="8" fillId="2" borderId="7" xfId="10" applyNumberFormat="1" applyFont="1" applyFill="1" applyBorder="1" applyAlignment="1">
      <alignment horizontal="center"/>
    </xf>
    <xf numFmtId="169" fontId="8" fillId="6" borderId="8" xfId="10" applyNumberFormat="1" applyFont="1" applyFill="1" applyBorder="1" applyAlignment="1">
      <alignment horizontal="center"/>
    </xf>
    <xf numFmtId="0" fontId="5" fillId="7" borderId="10" xfId="10" applyFont="1" applyFill="1" applyBorder="1" applyAlignment="1">
      <alignment horizontal="center"/>
    </xf>
    <xf numFmtId="0" fontId="19" fillId="0" borderId="0" xfId="10" applyFont="1"/>
    <xf numFmtId="0" fontId="9" fillId="0" borderId="0" xfId="10" applyFont="1"/>
    <xf numFmtId="169" fontId="8" fillId="2" borderId="5" xfId="10" applyNumberFormat="1" applyFont="1" applyFill="1" applyBorder="1" applyAlignment="1">
      <alignment horizontal="center"/>
    </xf>
    <xf numFmtId="0" fontId="18" fillId="0" borderId="0" xfId="10" applyAlignment="1">
      <alignment horizontal="center" wrapText="1"/>
    </xf>
    <xf numFmtId="169" fontId="8" fillId="2" borderId="8" xfId="10" applyNumberFormat="1" applyFont="1" applyFill="1" applyBorder="1" applyAlignment="1">
      <alignment horizontal="center"/>
    </xf>
    <xf numFmtId="0" fontId="21" fillId="0" borderId="0" xfId="10" applyFont="1"/>
    <xf numFmtId="0" fontId="1" fillId="0" borderId="0" xfId="10" applyFont="1"/>
    <xf numFmtId="0" fontId="5" fillId="7" borderId="4" xfId="10" applyFont="1" applyFill="1" applyBorder="1" applyAlignment="1">
      <alignment horizontal="center"/>
    </xf>
    <xf numFmtId="1" fontId="8" fillId="2" borderId="0" xfId="10" applyNumberFormat="1" applyFont="1" applyFill="1" applyBorder="1" applyAlignment="1">
      <alignment horizontal="center" vertical="center"/>
    </xf>
    <xf numFmtId="1" fontId="8" fillId="5" borderId="0" xfId="10" applyNumberFormat="1" applyFont="1" applyFill="1" applyBorder="1" applyAlignment="1">
      <alignment horizontal="center" vertical="center"/>
    </xf>
    <xf numFmtId="1" fontId="8" fillId="5" borderId="5" xfId="10" applyNumberFormat="1" applyFont="1" applyFill="1" applyBorder="1" applyAlignment="1">
      <alignment horizontal="center" vertical="center"/>
    </xf>
    <xf numFmtId="0" fontId="5" fillId="7" borderId="4" xfId="10" applyFont="1" applyFill="1" applyBorder="1" applyAlignment="1">
      <alignment horizontal="center" vertical="center"/>
    </xf>
    <xf numFmtId="0" fontId="5" fillId="7" borderId="6" xfId="10" applyFont="1" applyFill="1" applyBorder="1" applyAlignment="1">
      <alignment horizontal="center"/>
    </xf>
    <xf numFmtId="1" fontId="8" fillId="2" borderId="7" xfId="10" applyNumberFormat="1" applyFont="1" applyFill="1" applyBorder="1" applyAlignment="1">
      <alignment horizontal="center" vertical="center"/>
    </xf>
    <xf numFmtId="1" fontId="8" fillId="5" borderId="7" xfId="10" applyNumberFormat="1" applyFont="1" applyFill="1" applyBorder="1" applyAlignment="1">
      <alignment horizontal="center" vertical="center"/>
    </xf>
    <xf numFmtId="1" fontId="8" fillId="5" borderId="8" xfId="10" applyNumberFormat="1" applyFont="1" applyFill="1" applyBorder="1" applyAlignment="1">
      <alignment horizontal="center" vertical="center"/>
    </xf>
    <xf numFmtId="0" fontId="5" fillId="7" borderId="9" xfId="10" applyFont="1" applyFill="1" applyBorder="1" applyAlignment="1">
      <alignment horizontal="center"/>
    </xf>
    <xf numFmtId="0" fontId="5" fillId="7" borderId="6" xfId="10" applyFont="1" applyFill="1" applyBorder="1" applyAlignment="1">
      <alignment horizontal="center" vertical="center"/>
    </xf>
    <xf numFmtId="0" fontId="19" fillId="0" borderId="0" xfId="10" applyFont="1" applyAlignment="1">
      <alignment vertical="center"/>
    </xf>
    <xf numFmtId="170" fontId="8" fillId="2" borderId="10" xfId="10" applyNumberFormat="1" applyFont="1" applyFill="1" applyBorder="1" applyAlignment="1">
      <alignment horizontal="center" vertical="center"/>
    </xf>
    <xf numFmtId="0" fontId="5" fillId="3" borderId="1" xfId="10" applyFont="1" applyFill="1" applyBorder="1" applyAlignment="1">
      <alignment horizontal="center" vertical="center"/>
    </xf>
    <xf numFmtId="0" fontId="5" fillId="3" borderId="2" xfId="10" applyFont="1" applyFill="1" applyBorder="1" applyAlignment="1">
      <alignment horizontal="center" vertical="center"/>
    </xf>
    <xf numFmtId="0" fontId="5" fillId="3" borderId="3" xfId="10" applyFont="1" applyFill="1" applyBorder="1" applyAlignment="1">
      <alignment horizontal="center" vertical="center"/>
    </xf>
    <xf numFmtId="0" fontId="5" fillId="3" borderId="2" xfId="10" applyFont="1" applyFill="1" applyBorder="1" applyAlignment="1">
      <alignment horizontal="center"/>
    </xf>
    <xf numFmtId="0" fontId="5" fillId="3" borderId="3" xfId="10" applyFont="1" applyFill="1" applyBorder="1" applyAlignment="1">
      <alignment horizontal="center"/>
    </xf>
    <xf numFmtId="167" fontId="8" fillId="2" borderId="0" xfId="10" applyNumberFormat="1" applyFont="1" applyFill="1" applyBorder="1" applyAlignment="1">
      <alignment horizontal="center" vertical="center"/>
    </xf>
    <xf numFmtId="165" fontId="8" fillId="2" borderId="0" xfId="10" applyNumberFormat="1" applyFont="1" applyFill="1" applyBorder="1" applyAlignment="1">
      <alignment horizontal="center" vertical="center"/>
    </xf>
    <xf numFmtId="167" fontId="8" fillId="2" borderId="5" xfId="10" applyNumberFormat="1" applyFont="1" applyFill="1" applyBorder="1" applyAlignment="1">
      <alignment horizontal="center" vertical="center"/>
    </xf>
    <xf numFmtId="1" fontId="8" fillId="2" borderId="4" xfId="10" applyNumberFormat="1" applyFont="1" applyFill="1" applyBorder="1" applyAlignment="1">
      <alignment horizontal="center" vertical="center"/>
    </xf>
    <xf numFmtId="166" fontId="8" fillId="2" borderId="0" xfId="10" applyNumberFormat="1" applyFont="1" applyFill="1" applyBorder="1" applyAlignment="1">
      <alignment horizontal="center" vertical="center"/>
    </xf>
    <xf numFmtId="0" fontId="5" fillId="7" borderId="5" xfId="10" applyFont="1" applyFill="1" applyBorder="1" applyAlignment="1">
      <alignment horizontal="center" vertical="center"/>
    </xf>
    <xf numFmtId="0" fontId="5" fillId="3" borderId="4" xfId="10" applyFont="1" applyFill="1" applyBorder="1" applyAlignment="1">
      <alignment horizontal="center"/>
    </xf>
    <xf numFmtId="2" fontId="8" fillId="2" borderId="0" xfId="10" applyNumberFormat="1" applyFont="1" applyFill="1" applyBorder="1" applyAlignment="1">
      <alignment horizontal="center"/>
    </xf>
    <xf numFmtId="2" fontId="8" fillId="2" borderId="5" xfId="10" applyNumberFormat="1" applyFont="1" applyFill="1" applyBorder="1" applyAlignment="1">
      <alignment horizontal="center"/>
    </xf>
    <xf numFmtId="167" fontId="8" fillId="2" borderId="7" xfId="10" applyNumberFormat="1" applyFont="1" applyFill="1" applyBorder="1" applyAlignment="1">
      <alignment horizontal="center" vertical="center"/>
    </xf>
    <xf numFmtId="165" fontId="8" fillId="2" borderId="7" xfId="10" applyNumberFormat="1" applyFont="1" applyFill="1" applyBorder="1" applyAlignment="1">
      <alignment horizontal="center" vertical="center"/>
    </xf>
    <xf numFmtId="167" fontId="8" fillId="2" borderId="8" xfId="10" applyNumberFormat="1" applyFont="1" applyFill="1" applyBorder="1" applyAlignment="1">
      <alignment horizontal="center" vertical="center"/>
    </xf>
    <xf numFmtId="1" fontId="8" fillId="2" borderId="6" xfId="10" applyNumberFormat="1" applyFont="1" applyFill="1" applyBorder="1" applyAlignment="1">
      <alignment horizontal="center" vertical="center"/>
    </xf>
    <xf numFmtId="166" fontId="8" fillId="2" borderId="7" xfId="10" applyNumberFormat="1" applyFont="1" applyFill="1" applyBorder="1" applyAlignment="1">
      <alignment horizontal="center" vertical="center"/>
    </xf>
    <xf numFmtId="0" fontId="5" fillId="7" borderId="8" xfId="10" applyFont="1" applyFill="1" applyBorder="1" applyAlignment="1">
      <alignment horizontal="center" vertical="center"/>
    </xf>
    <xf numFmtId="0" fontId="5" fillId="3" borderId="6" xfId="10" applyFont="1" applyFill="1" applyBorder="1" applyAlignment="1">
      <alignment horizontal="center"/>
    </xf>
    <xf numFmtId="2" fontId="8" fillId="2" borderId="7" xfId="10" applyNumberFormat="1" applyFont="1" applyFill="1" applyBorder="1" applyAlignment="1">
      <alignment horizontal="center"/>
    </xf>
    <xf numFmtId="2" fontId="8" fillId="2" borderId="8" xfId="10" applyNumberFormat="1" applyFont="1" applyFill="1" applyBorder="1" applyAlignment="1">
      <alignment horizontal="center"/>
    </xf>
    <xf numFmtId="0" fontId="5" fillId="3" borderId="0" xfId="10" applyFont="1" applyFill="1" applyBorder="1" applyAlignment="1">
      <alignment horizontal="center"/>
    </xf>
    <xf numFmtId="0" fontId="5" fillId="3" borderId="7" xfId="10" applyFont="1" applyFill="1" applyBorder="1" applyAlignment="1">
      <alignment horizontal="center"/>
    </xf>
    <xf numFmtId="165" fontId="8" fillId="5" borderId="0" xfId="10" applyNumberFormat="1" applyFont="1" applyFill="1" applyBorder="1" applyAlignment="1">
      <alignment horizontal="center" vertical="center"/>
    </xf>
    <xf numFmtId="1" fontId="8" fillId="5" borderId="4" xfId="10" applyNumberFormat="1" applyFont="1" applyFill="1" applyBorder="1" applyAlignment="1">
      <alignment horizontal="center" vertical="center"/>
    </xf>
    <xf numFmtId="2" fontId="8" fillId="5" borderId="0" xfId="10" applyNumberFormat="1" applyFont="1" applyFill="1" applyBorder="1" applyAlignment="1">
      <alignment horizontal="center"/>
    </xf>
    <xf numFmtId="2" fontId="8" fillId="5" borderId="5" xfId="10" applyNumberFormat="1" applyFont="1" applyFill="1" applyBorder="1" applyAlignment="1">
      <alignment horizontal="center"/>
    </xf>
    <xf numFmtId="165" fontId="8" fillId="5" borderId="7" xfId="10" applyNumberFormat="1" applyFont="1" applyFill="1" applyBorder="1" applyAlignment="1">
      <alignment horizontal="center" vertical="center"/>
    </xf>
    <xf numFmtId="1" fontId="8" fillId="5" borderId="6" xfId="10" applyNumberFormat="1" applyFont="1" applyFill="1" applyBorder="1" applyAlignment="1">
      <alignment horizontal="center" vertical="center"/>
    </xf>
    <xf numFmtId="2" fontId="8" fillId="5" borderId="7" xfId="10" applyNumberFormat="1" applyFont="1" applyFill="1" applyBorder="1" applyAlignment="1">
      <alignment horizontal="center"/>
    </xf>
    <xf numFmtId="2" fontId="8" fillId="5" borderId="8" xfId="10" applyNumberFormat="1" applyFont="1" applyFill="1" applyBorder="1" applyAlignment="1">
      <alignment horizontal="center"/>
    </xf>
    <xf numFmtId="167" fontId="8" fillId="5" borderId="5" xfId="10" applyNumberFormat="1" applyFont="1" applyFill="1" applyBorder="1" applyAlignment="1">
      <alignment horizontal="center" vertical="center"/>
    </xf>
    <xf numFmtId="167" fontId="8" fillId="5" borderId="8" xfId="10" applyNumberFormat="1" applyFont="1" applyFill="1" applyBorder="1" applyAlignment="1">
      <alignment horizontal="center" vertical="center"/>
    </xf>
    <xf numFmtId="0" fontId="3" fillId="3" borderId="12" xfId="10" applyFont="1" applyFill="1" applyBorder="1" applyAlignment="1">
      <alignment horizontal="center" wrapText="1"/>
    </xf>
    <xf numFmtId="0" fontId="5" fillId="3" borderId="0" xfId="10" applyFont="1" applyFill="1" applyAlignment="1">
      <alignment horizontal="center"/>
    </xf>
    <xf numFmtId="1" fontId="8" fillId="2" borderId="0" xfId="10" applyNumberFormat="1" applyFont="1" applyFill="1" applyAlignment="1">
      <alignment horizontal="center"/>
    </xf>
    <xf numFmtId="2" fontId="8" fillId="2" borderId="0" xfId="10" applyNumberFormat="1" applyFont="1" applyFill="1" applyAlignment="1">
      <alignment horizontal="center"/>
    </xf>
    <xf numFmtId="167" fontId="8" fillId="2" borderId="0" xfId="10" applyNumberFormat="1" applyFont="1" applyFill="1" applyAlignment="1">
      <alignment horizontal="center"/>
    </xf>
    <xf numFmtId="172" fontId="8" fillId="2" borderId="0" xfId="10" applyNumberFormat="1" applyFont="1" applyFill="1" applyAlignment="1">
      <alignment horizontal="center"/>
    </xf>
    <xf numFmtId="173" fontId="8" fillId="2" borderId="0" xfId="10" applyNumberFormat="1" applyFont="1" applyFill="1" applyAlignment="1">
      <alignment horizontal="center"/>
    </xf>
    <xf numFmtId="167" fontId="8" fillId="5" borderId="0" xfId="10" applyNumberFormat="1" applyFont="1" applyFill="1" applyAlignment="1">
      <alignment horizontal="center"/>
    </xf>
    <xf numFmtId="172" fontId="8" fillId="5" borderId="0" xfId="10" applyNumberFormat="1" applyFont="1" applyFill="1" applyAlignment="1">
      <alignment horizontal="center"/>
    </xf>
    <xf numFmtId="173" fontId="8" fillId="5" borderId="0" xfId="10" applyNumberFormat="1" applyFont="1" applyFill="1" applyAlignment="1">
      <alignment horizontal="center"/>
    </xf>
    <xf numFmtId="1" fontId="8" fillId="5" borderId="0" xfId="10" applyNumberFormat="1" applyFont="1" applyFill="1" applyAlignment="1">
      <alignment horizontal="center"/>
    </xf>
    <xf numFmtId="172" fontId="18" fillId="0" borderId="0" xfId="10" applyNumberFormat="1"/>
    <xf numFmtId="0" fontId="22" fillId="0" borderId="0" xfId="10" applyFont="1"/>
    <xf numFmtId="0" fontId="5" fillId="3" borderId="2" xfId="10" applyFont="1" applyFill="1" applyBorder="1" applyAlignment="1">
      <alignment horizontal="center" vertical="center" wrapText="1"/>
    </xf>
    <xf numFmtId="0" fontId="5" fillId="3" borderId="3" xfId="10" applyFont="1" applyFill="1" applyBorder="1" applyAlignment="1">
      <alignment horizontal="center" vertical="center" wrapText="1"/>
    </xf>
    <xf numFmtId="0" fontId="5" fillId="3" borderId="2" xfId="10" applyFont="1" applyFill="1" applyBorder="1" applyAlignment="1">
      <alignment horizontal="center" wrapText="1"/>
    </xf>
    <xf numFmtId="0" fontId="17" fillId="0" borderId="0" xfId="0" applyFont="1"/>
    <xf numFmtId="0" fontId="5" fillId="7" borderId="9" xfId="10" applyFont="1" applyFill="1" applyBorder="1" applyAlignment="1">
      <alignment horizontal="center" wrapText="1"/>
    </xf>
    <xf numFmtId="170" fontId="8" fillId="5" borderId="2" xfId="10" applyNumberFormat="1" applyFont="1" applyFill="1" applyBorder="1" applyAlignment="1">
      <alignment horizontal="center" vertical="center"/>
    </xf>
    <xf numFmtId="1" fontId="8" fillId="2" borderId="10" xfId="10" applyNumberFormat="1" applyFont="1" applyFill="1" applyBorder="1" applyAlignment="1">
      <alignment horizontal="center" vertical="center"/>
    </xf>
    <xf numFmtId="170" fontId="8" fillId="5" borderId="3" xfId="10" applyNumberFormat="1" applyFont="1" applyFill="1" applyBorder="1" applyAlignment="1">
      <alignment horizontal="center" vertical="center"/>
    </xf>
    <xf numFmtId="0" fontId="5" fillId="3" borderId="2" xfId="10" applyFont="1" applyFill="1" applyBorder="1" applyAlignment="1">
      <alignment vertical="center" wrapText="1"/>
    </xf>
    <xf numFmtId="0" fontId="23" fillId="0" borderId="0" xfId="10" applyFont="1"/>
    <xf numFmtId="0" fontId="5" fillId="3" borderId="1" xfId="10" applyFont="1" applyFill="1" applyBorder="1" applyAlignment="1">
      <alignment horizontal="center" vertical="center" wrapText="1"/>
    </xf>
    <xf numFmtId="1" fontId="8" fillId="2" borderId="5" xfId="10" applyNumberFormat="1" applyFont="1" applyFill="1" applyBorder="1" applyAlignment="1">
      <alignment horizontal="center" vertical="center"/>
    </xf>
    <xf numFmtId="170" fontId="8" fillId="2" borderId="2" xfId="10" applyNumberFormat="1" applyFont="1" applyFill="1" applyBorder="1" applyAlignment="1">
      <alignment horizontal="center" vertical="center"/>
    </xf>
    <xf numFmtId="170" fontId="8" fillId="2" borderId="3" xfId="10" applyNumberFormat="1" applyFont="1" applyFill="1" applyBorder="1" applyAlignment="1">
      <alignment horizontal="center" vertical="center"/>
    </xf>
    <xf numFmtId="1" fontId="8" fillId="2" borderId="11" xfId="10" applyNumberFormat="1" applyFont="1" applyFill="1" applyBorder="1" applyAlignment="1">
      <alignment horizontal="center" vertical="center"/>
    </xf>
    <xf numFmtId="1" fontId="8" fillId="2" borderId="8" xfId="10" applyNumberFormat="1" applyFont="1" applyFill="1" applyBorder="1" applyAlignment="1">
      <alignment horizontal="center" vertical="center"/>
    </xf>
    <xf numFmtId="164" fontId="13" fillId="6" borderId="12" xfId="10" applyNumberFormat="1" applyFont="1" applyFill="1" applyBorder="1" applyAlignment="1">
      <alignment horizontal="center" vertical="center"/>
    </xf>
    <xf numFmtId="1" fontId="19" fillId="0" borderId="0" xfId="10" applyNumberFormat="1" applyFont="1" applyAlignment="1">
      <alignment vertical="center"/>
    </xf>
    <xf numFmtId="0" fontId="5" fillId="7" borderId="6" xfId="10" applyFont="1" applyFill="1" applyBorder="1" applyAlignment="1">
      <alignment horizontal="center" wrapText="1"/>
    </xf>
    <xf numFmtId="0" fontId="5" fillId="7" borderId="1" xfId="10" applyFont="1" applyFill="1" applyBorder="1" applyAlignment="1">
      <alignment horizontal="center"/>
    </xf>
    <xf numFmtId="1" fontId="15" fillId="4" borderId="0" xfId="10" applyNumberFormat="1" applyFont="1" applyFill="1" applyBorder="1" applyAlignment="1">
      <alignment horizontal="center"/>
    </xf>
    <xf numFmtId="170" fontId="15" fillId="4" borderId="10" xfId="10" applyNumberFormat="1" applyFont="1" applyFill="1" applyBorder="1" applyAlignment="1">
      <alignment horizontal="center"/>
    </xf>
    <xf numFmtId="170" fontId="15" fillId="4" borderId="11" xfId="10" applyNumberFormat="1" applyFont="1" applyFill="1" applyBorder="1" applyAlignment="1">
      <alignment horizontal="center"/>
    </xf>
    <xf numFmtId="168" fontId="15" fillId="4" borderId="0" xfId="10" applyNumberFormat="1" applyFont="1" applyFill="1" applyBorder="1" applyAlignment="1">
      <alignment horizontal="center"/>
    </xf>
    <xf numFmtId="2" fontId="15" fillId="4" borderId="0" xfId="10" applyNumberFormat="1" applyFont="1" applyFill="1" applyBorder="1" applyAlignment="1">
      <alignment horizontal="center"/>
    </xf>
    <xf numFmtId="10" fontId="15" fillId="4" borderId="0" xfId="10" applyNumberFormat="1" applyFont="1" applyFill="1" applyBorder="1" applyAlignment="1">
      <alignment horizontal="center"/>
    </xf>
    <xf numFmtId="167" fontId="15" fillId="4" borderId="0" xfId="10" applyNumberFormat="1" applyFont="1" applyFill="1" applyAlignment="1">
      <alignment horizontal="center"/>
    </xf>
    <xf numFmtId="172" fontId="15" fillId="4" borderId="0" xfId="10" applyNumberFormat="1" applyFont="1" applyFill="1" applyAlignment="1">
      <alignment horizontal="center"/>
    </xf>
    <xf numFmtId="1" fontId="15" fillId="4" borderId="0" xfId="10" applyNumberFormat="1" applyFont="1" applyFill="1" applyAlignment="1">
      <alignment horizontal="center"/>
    </xf>
    <xf numFmtId="2" fontId="15" fillId="4" borderId="0" xfId="10" applyNumberFormat="1" applyFont="1" applyFill="1" applyAlignment="1">
      <alignment horizontal="center"/>
    </xf>
    <xf numFmtId="3" fontId="15" fillId="4" borderId="0" xfId="10" applyNumberFormat="1" applyFont="1" applyFill="1" applyBorder="1" applyAlignment="1">
      <alignment horizontal="center" vertical="center"/>
    </xf>
    <xf numFmtId="3" fontId="15" fillId="4" borderId="7" xfId="10" applyNumberFormat="1" applyFont="1" applyFill="1" applyBorder="1" applyAlignment="1">
      <alignment horizontal="center" vertical="center"/>
    </xf>
    <xf numFmtId="0" fontId="5" fillId="3" borderId="0" xfId="0" applyFont="1" applyFill="1" applyAlignment="1">
      <alignment horizontal="left" wrapText="1"/>
    </xf>
    <xf numFmtId="0" fontId="5" fillId="3" borderId="0" xfId="0" applyFont="1" applyFill="1" applyAlignment="1">
      <alignment horizontal="left"/>
    </xf>
    <xf numFmtId="0" fontId="5" fillId="3" borderId="0" xfId="0" applyFont="1" applyFill="1" applyAlignment="1">
      <alignment horizontal="center" vertical="center" wrapText="1"/>
    </xf>
    <xf numFmtId="0" fontId="8" fillId="2" borderId="0" xfId="0" applyNumberFormat="1" applyFont="1" applyFill="1" applyAlignment="1">
      <alignment horizontal="center" vertical="center"/>
    </xf>
    <xf numFmtId="0" fontId="6" fillId="0" borderId="0" xfId="0" applyFont="1" applyAlignment="1"/>
    <xf numFmtId="0" fontId="6" fillId="0" borderId="7" xfId="0" applyFont="1" applyBorder="1" applyAlignment="1"/>
    <xf numFmtId="167" fontId="8" fillId="2" borderId="0" xfId="10" applyNumberFormat="1" applyFont="1" applyFill="1" applyBorder="1" applyAlignment="1">
      <alignment horizontal="center"/>
    </xf>
    <xf numFmtId="167" fontId="8" fillId="2" borderId="7" xfId="10" applyNumberFormat="1" applyFont="1" applyFill="1" applyBorder="1" applyAlignment="1">
      <alignment horizontal="center"/>
    </xf>
    <xf numFmtId="165" fontId="0" fillId="0" borderId="0" xfId="0" applyNumberFormat="1"/>
    <xf numFmtId="172" fontId="8" fillId="2" borderId="0" xfId="10" applyNumberFormat="1" applyFont="1" applyFill="1" applyBorder="1" applyAlignment="1">
      <alignment horizontal="center" vertical="center"/>
    </xf>
    <xf numFmtId="172" fontId="8" fillId="2" borderId="5" xfId="10" applyNumberFormat="1" applyFont="1" applyFill="1" applyBorder="1" applyAlignment="1">
      <alignment horizontal="center" vertical="center"/>
    </xf>
    <xf numFmtId="172" fontId="8" fillId="2" borderId="7" xfId="10" applyNumberFormat="1" applyFont="1" applyFill="1" applyBorder="1" applyAlignment="1">
      <alignment horizontal="center" vertical="center"/>
    </xf>
    <xf numFmtId="172" fontId="8" fillId="2" borderId="8" xfId="10" applyNumberFormat="1" applyFont="1" applyFill="1" applyBorder="1" applyAlignment="1">
      <alignment horizontal="center" vertical="center"/>
    </xf>
    <xf numFmtId="0" fontId="24" fillId="9" borderId="0" xfId="10" applyFont="1" applyFill="1"/>
    <xf numFmtId="0" fontId="18" fillId="9" borderId="0" xfId="10" applyFill="1"/>
    <xf numFmtId="171" fontId="8" fillId="2" borderId="4" xfId="10" applyNumberFormat="1" applyFont="1" applyFill="1" applyBorder="1" applyAlignment="1">
      <alignment horizontal="center"/>
    </xf>
    <xf numFmtId="171" fontId="8" fillId="2" borderId="4" xfId="10" applyNumberFormat="1" applyFont="1" applyFill="1" applyBorder="1" applyAlignment="1">
      <alignment horizontal="left" indent="2"/>
    </xf>
    <xf numFmtId="0" fontId="5" fillId="3" borderId="0" xfId="10" applyFont="1" applyFill="1" applyBorder="1" applyAlignment="1">
      <alignment horizontal="center" vertical="center" wrapText="1"/>
    </xf>
    <xf numFmtId="0" fontId="17" fillId="0" borderId="0" xfId="10" applyFont="1" applyAlignment="1">
      <alignment horizontal="center" wrapText="1"/>
    </xf>
    <xf numFmtId="0" fontId="10" fillId="3" borderId="0" xfId="10" applyFont="1" applyFill="1" applyBorder="1" applyAlignment="1">
      <alignment horizontal="center" vertical="center" wrapText="1"/>
    </xf>
    <xf numFmtId="0" fontId="5" fillId="3" borderId="4" xfId="10" applyFont="1" applyFill="1" applyBorder="1" applyAlignment="1">
      <alignment horizontal="center" vertical="center" wrapText="1"/>
    </xf>
    <xf numFmtId="0" fontId="10" fillId="3" borderId="5" xfId="10" applyFont="1" applyFill="1" applyBorder="1" applyAlignment="1">
      <alignment horizontal="center" vertical="center" wrapText="1"/>
    </xf>
    <xf numFmtId="0" fontId="18" fillId="0" borderId="0" xfId="10" applyAlignment="1">
      <alignment horizontal="center" wrapText="1"/>
    </xf>
    <xf numFmtId="0" fontId="7" fillId="0" borderId="0" xfId="10" applyFont="1" applyAlignment="1">
      <alignment horizontal="center" vertical="center" wrapText="1"/>
    </xf>
    <xf numFmtId="0" fontId="7" fillId="0" borderId="0" xfId="10" applyFont="1" applyAlignment="1">
      <alignment horizontal="left" wrapText="1"/>
    </xf>
    <xf numFmtId="0" fontId="5" fillId="7" borderId="6" xfId="10" applyFont="1" applyFill="1" applyBorder="1" applyAlignment="1">
      <alignment horizontal="center" vertical="center"/>
    </xf>
    <xf numFmtId="0" fontId="5" fillId="7" borderId="7" xfId="10" applyFont="1" applyFill="1" applyBorder="1" applyAlignment="1">
      <alignment horizontal="center" vertical="center"/>
    </xf>
    <xf numFmtId="0" fontId="10" fillId="3" borderId="0" xfId="10" applyFont="1" applyFill="1" applyAlignment="1">
      <alignment horizontal="center"/>
    </xf>
    <xf numFmtId="0" fontId="5" fillId="3" borderId="0" xfId="10" applyFont="1" applyFill="1" applyAlignment="1">
      <alignment horizontal="center" wrapText="1"/>
    </xf>
  </cellXfs>
  <cellStyles count="12">
    <cellStyle name="Followed Hyperlink" xfId="3" builtinId="9" hidden="1"/>
    <cellStyle name="Followed Hyperlink" xfId="5" builtinId="9" hidden="1"/>
    <cellStyle name="Followed Hyperlink" xfId="7" builtinId="9" hidden="1"/>
    <cellStyle name="Hyperlink" xfId="2" builtinId="8" hidden="1"/>
    <cellStyle name="Hyperlink" xfId="4" builtinId="8" hidden="1"/>
    <cellStyle name="Hyperlink" xfId="6" builtinId="8" hidden="1"/>
    <cellStyle name="Normal" xfId="0" builtinId="0"/>
    <cellStyle name="Normal 2" xfId="1" xr:uid="{00000000-0005-0000-0000-000007000000}"/>
    <cellStyle name="Normal 3" xfId="8" xr:uid="{00000000-0005-0000-0000-000008000000}"/>
    <cellStyle name="Normal 4" xfId="10" xr:uid="{00000000-0005-0000-0000-000009000000}"/>
    <cellStyle name="Percent 2" xfId="9" xr:uid="{00000000-0005-0000-0000-00000B000000}"/>
    <cellStyle name="Percent 3" xfId="11" xr:uid="{00000000-0005-0000-0000-00000C000000}"/>
  </cellStyles>
  <dxfs count="0"/>
  <tableStyles count="0" defaultTableStyle="TableStyleMedium2" defaultPivotStyle="PivotStyleLight16"/>
  <colors>
    <mruColors>
      <color rgb="FFCBCBCB"/>
      <color rgb="FFADA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6.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a:t>Health opportunity cost</a:t>
            </a:r>
            <a:br>
              <a:rPr lang="en-US"/>
            </a:br>
            <a:r>
              <a:rPr lang="en-US"/>
              <a:t>(proportion of 1 HALY, all disease areas)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Health opportunity cost (proportion of 1 HALY, all disease areas)</c:v>
          </c:tx>
          <c:spPr>
            <a:solidFill>
              <a:schemeClr val="accent1"/>
            </a:solidFill>
            <a:ln>
              <a:noFill/>
            </a:ln>
            <a:effectLst/>
          </c:spPr>
          <c:invertIfNegative val="0"/>
          <c:cat>
            <c:strRef>
              <c:f>'HOC Calcs'!$A$45:$A$54</c:f>
              <c:strCache>
                <c:ptCount val="10"/>
                <c:pt idx="0">
                  <c:v>S1</c:v>
                </c:pt>
                <c:pt idx="1">
                  <c:v>S2</c:v>
                </c:pt>
                <c:pt idx="2">
                  <c:v>S3</c:v>
                </c:pt>
                <c:pt idx="3">
                  <c:v>S4</c:v>
                </c:pt>
                <c:pt idx="4">
                  <c:v>S5</c:v>
                </c:pt>
                <c:pt idx="5">
                  <c:v>N1</c:v>
                </c:pt>
                <c:pt idx="6">
                  <c:v>N2</c:v>
                </c:pt>
                <c:pt idx="7">
                  <c:v>N3</c:v>
                </c:pt>
                <c:pt idx="8">
                  <c:v>N4</c:v>
                </c:pt>
                <c:pt idx="9">
                  <c:v>N5</c:v>
                </c:pt>
              </c:strCache>
            </c:strRef>
          </c:cat>
          <c:val>
            <c:numRef>
              <c:f>'HOC Calcs'!$W$45:$W$54</c:f>
              <c:numCache>
                <c:formatCode>#,##0.00000</c:formatCode>
                <c:ptCount val="10"/>
                <c:pt idx="0">
                  <c:v>8.556267654520805E-2</c:v>
                </c:pt>
                <c:pt idx="1">
                  <c:v>0.11848718455580953</c:v>
                </c:pt>
                <c:pt idx="2">
                  <c:v>0.12388977943018417</c:v>
                </c:pt>
                <c:pt idx="3">
                  <c:v>0.10117915006548314</c:v>
                </c:pt>
                <c:pt idx="4">
                  <c:v>9.3866795022044522E-2</c:v>
                </c:pt>
                <c:pt idx="5">
                  <c:v>0.15732260823496685</c:v>
                </c:pt>
                <c:pt idx="6">
                  <c:v>9.4530451625632034E-2</c:v>
                </c:pt>
                <c:pt idx="7">
                  <c:v>8.8330157699348391E-2</c:v>
                </c:pt>
                <c:pt idx="8">
                  <c:v>7.6779930302072905E-2</c:v>
                </c:pt>
                <c:pt idx="9">
                  <c:v>6.0056416719250452E-2</c:v>
                </c:pt>
              </c:numCache>
            </c:numRef>
          </c:val>
          <c:extLst>
            <c:ext xmlns:c16="http://schemas.microsoft.com/office/drawing/2014/chart" uri="{C3380CC4-5D6E-409C-BE32-E72D297353CC}">
              <c16:uniqueId val="{00000000-2D64-4E8A-84DB-23167D0AAE8F}"/>
            </c:ext>
          </c:extLst>
        </c:ser>
        <c:dLbls>
          <c:showLegendKey val="0"/>
          <c:showVal val="0"/>
          <c:showCatName val="0"/>
          <c:showSerName val="0"/>
          <c:showPercent val="0"/>
          <c:showBubbleSize val="0"/>
        </c:dLbls>
        <c:gapWidth val="219"/>
        <c:overlap val="-27"/>
        <c:axId val="337243552"/>
        <c:axId val="378335216"/>
      </c:barChart>
      <c:catAx>
        <c:axId val="33724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78335216"/>
        <c:crosses val="autoZero"/>
        <c:auto val="1"/>
        <c:lblAlgn val="ctr"/>
        <c:lblOffset val="100"/>
        <c:noMultiLvlLbl val="0"/>
      </c:catAx>
      <c:valAx>
        <c:axId val="378335216"/>
        <c:scaling>
          <c:orientation val="minMax"/>
        </c:scaling>
        <c:delete val="0"/>
        <c:axPos val="l"/>
        <c:numFmt formatCode="#,##0.00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37243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mn-lt"/>
                <a:ea typeface="+mn-ea"/>
                <a:cs typeface="+mn-cs"/>
              </a:defRPr>
            </a:pPr>
            <a:r>
              <a:rPr lang="en-US" b="1"/>
              <a:t>Health opportunity cost</a:t>
            </a:r>
            <a:br>
              <a:rPr lang="en-US" b="1"/>
            </a:br>
            <a:r>
              <a:rPr lang="en-US" b="1"/>
              <a:t>(proportion of 1 HALY, respiratory disease area)</a:t>
            </a:r>
          </a:p>
        </c:rich>
      </c:tx>
      <c:layout>
        <c:manualLayout>
          <c:xMode val="edge"/>
          <c:yMode val="edge"/>
          <c:x val="0.25485507320249123"/>
          <c:y val="2.6733507451965201E-2"/>
        </c:manualLayout>
      </c:layout>
      <c:overlay val="0"/>
      <c:spPr>
        <a:noFill/>
        <a:ln>
          <a:noFill/>
        </a:ln>
        <a:effectLst/>
      </c:spPr>
      <c:txPr>
        <a:bodyPr rot="0" spcFirstLastPara="1" vertOverflow="ellipsis" vert="horz" wrap="square" anchor="ctr" anchorCtr="1"/>
        <a:lstStyle/>
        <a:p>
          <a:pPr algn="ct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Health opportunity cost (proportion of 1 HALY, respiratory disease area)</c:v>
          </c:tx>
          <c:spPr>
            <a:solidFill>
              <a:schemeClr val="accent2">
                <a:lumMod val="40000"/>
                <a:lumOff val="60000"/>
              </a:schemeClr>
            </a:solidFill>
            <a:ln>
              <a:noFill/>
            </a:ln>
            <a:effectLst/>
          </c:spPr>
          <c:invertIfNegative val="0"/>
          <c:cat>
            <c:strRef>
              <c:f>'HOC Calcs'!$A$45:$A$54</c:f>
              <c:strCache>
                <c:ptCount val="10"/>
                <c:pt idx="0">
                  <c:v>S1</c:v>
                </c:pt>
                <c:pt idx="1">
                  <c:v>S2</c:v>
                </c:pt>
                <c:pt idx="2">
                  <c:v>S3</c:v>
                </c:pt>
                <c:pt idx="3">
                  <c:v>S4</c:v>
                </c:pt>
                <c:pt idx="4">
                  <c:v>S5</c:v>
                </c:pt>
                <c:pt idx="5">
                  <c:v>N1</c:v>
                </c:pt>
                <c:pt idx="6">
                  <c:v>N2</c:v>
                </c:pt>
                <c:pt idx="7">
                  <c:v>N3</c:v>
                </c:pt>
                <c:pt idx="8">
                  <c:v>N4</c:v>
                </c:pt>
                <c:pt idx="9">
                  <c:v>N5</c:v>
                </c:pt>
              </c:strCache>
            </c:strRef>
          </c:cat>
          <c:val>
            <c:numRef>
              <c:f>'HOC Calcs'!$L$45:$L$54</c:f>
              <c:numCache>
                <c:formatCode>#,##0.00000</c:formatCode>
                <c:ptCount val="10"/>
                <c:pt idx="0">
                  <c:v>2.6113158694744509E-2</c:v>
                </c:pt>
                <c:pt idx="1">
                  <c:v>3.5646782854389381E-2</c:v>
                </c:pt>
                <c:pt idx="2">
                  <c:v>3.72585067253575E-2</c:v>
                </c:pt>
                <c:pt idx="3">
                  <c:v>2.9149029341444352E-2</c:v>
                </c:pt>
                <c:pt idx="4">
                  <c:v>2.6406415603389445E-2</c:v>
                </c:pt>
                <c:pt idx="5">
                  <c:v>4.8013760257197016E-2</c:v>
                </c:pt>
                <c:pt idx="6">
                  <c:v>2.8439395187586768E-2</c:v>
                </c:pt>
                <c:pt idx="7">
                  <c:v>2.6564356005425289E-2</c:v>
                </c:pt>
                <c:pt idx="8">
                  <c:v>2.2119766738096066E-2</c:v>
                </c:pt>
                <c:pt idx="9">
                  <c:v>1.6894927492369677E-2</c:v>
                </c:pt>
              </c:numCache>
            </c:numRef>
          </c:val>
          <c:extLst>
            <c:ext xmlns:c16="http://schemas.microsoft.com/office/drawing/2014/chart" uri="{C3380CC4-5D6E-409C-BE32-E72D297353CC}">
              <c16:uniqueId val="{00000000-8546-4DBB-BB0F-A8ABBC323D35}"/>
            </c:ext>
          </c:extLst>
        </c:ser>
        <c:dLbls>
          <c:showLegendKey val="0"/>
          <c:showVal val="0"/>
          <c:showCatName val="0"/>
          <c:showSerName val="0"/>
          <c:showPercent val="0"/>
          <c:showBubbleSize val="0"/>
        </c:dLbls>
        <c:gapWidth val="219"/>
        <c:overlap val="-27"/>
        <c:axId val="337243552"/>
        <c:axId val="378335216"/>
      </c:barChart>
      <c:catAx>
        <c:axId val="33724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78335216"/>
        <c:crosses val="autoZero"/>
        <c:auto val="1"/>
        <c:lblAlgn val="ctr"/>
        <c:lblOffset val="100"/>
        <c:noMultiLvlLbl val="0"/>
      </c:catAx>
      <c:valAx>
        <c:axId val="378335216"/>
        <c:scaling>
          <c:orientation val="minMax"/>
        </c:scaling>
        <c:delete val="0"/>
        <c:axPos val="l"/>
        <c:numFmt formatCode="#,##0.00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37243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Health opportunity cost </a:t>
            </a:r>
            <a:br>
              <a:rPr lang="en-US" b="1"/>
            </a:br>
            <a:r>
              <a:rPr lang="en-US" b="1"/>
              <a:t>(proportion of 1 HALY, cancer disease area)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Health opportunity cost (proportion of 1 HALY, cancer disease area)</c:v>
          </c:tx>
          <c:spPr>
            <a:solidFill>
              <a:schemeClr val="accent6">
                <a:lumMod val="40000"/>
                <a:lumOff val="60000"/>
              </a:schemeClr>
            </a:solidFill>
            <a:ln>
              <a:noFill/>
            </a:ln>
            <a:effectLst/>
          </c:spPr>
          <c:invertIfNegative val="0"/>
          <c:cat>
            <c:strRef>
              <c:f>'HOC Calcs'!$A$45:$A$54</c:f>
              <c:strCache>
                <c:ptCount val="10"/>
                <c:pt idx="0">
                  <c:v>S1</c:v>
                </c:pt>
                <c:pt idx="1">
                  <c:v>S2</c:v>
                </c:pt>
                <c:pt idx="2">
                  <c:v>S3</c:v>
                </c:pt>
                <c:pt idx="3">
                  <c:v>S4</c:v>
                </c:pt>
                <c:pt idx="4">
                  <c:v>S5</c:v>
                </c:pt>
                <c:pt idx="5">
                  <c:v>N1</c:v>
                </c:pt>
                <c:pt idx="6">
                  <c:v>N2</c:v>
                </c:pt>
                <c:pt idx="7">
                  <c:v>N3</c:v>
                </c:pt>
                <c:pt idx="8">
                  <c:v>N4</c:v>
                </c:pt>
                <c:pt idx="9">
                  <c:v>N5</c:v>
                </c:pt>
              </c:strCache>
            </c:strRef>
          </c:cat>
          <c:val>
            <c:numRef>
              <c:f>'HOC Calcs'!$C$45:$C$54</c:f>
              <c:numCache>
                <c:formatCode>#,##0.00000</c:formatCode>
                <c:ptCount val="10"/>
                <c:pt idx="0">
                  <c:v>2.352597714253335E-3</c:v>
                </c:pt>
                <c:pt idx="1">
                  <c:v>3.5783130261248502E-3</c:v>
                </c:pt>
                <c:pt idx="2">
                  <c:v>3.8591392490718445E-3</c:v>
                </c:pt>
                <c:pt idx="3">
                  <c:v>4.1584214145216503E-3</c:v>
                </c:pt>
                <c:pt idx="4">
                  <c:v>4.2751084423021087E-3</c:v>
                </c:pt>
                <c:pt idx="5">
                  <c:v>4.3256867521229937E-3</c:v>
                </c:pt>
                <c:pt idx="6">
                  <c:v>2.8548200192075636E-3</c:v>
                </c:pt>
                <c:pt idx="7">
                  <c:v>2.7514650694578958E-3</c:v>
                </c:pt>
                <c:pt idx="8">
                  <c:v>3.1556318211963261E-3</c:v>
                </c:pt>
                <c:pt idx="9">
                  <c:v>2.7352408917414297E-3</c:v>
                </c:pt>
              </c:numCache>
            </c:numRef>
          </c:val>
          <c:extLst>
            <c:ext xmlns:c16="http://schemas.microsoft.com/office/drawing/2014/chart" uri="{C3380CC4-5D6E-409C-BE32-E72D297353CC}">
              <c16:uniqueId val="{00000000-D2A6-4C09-BB5C-2C3F200D126F}"/>
            </c:ext>
          </c:extLst>
        </c:ser>
        <c:dLbls>
          <c:showLegendKey val="0"/>
          <c:showVal val="0"/>
          <c:showCatName val="0"/>
          <c:showSerName val="0"/>
          <c:showPercent val="0"/>
          <c:showBubbleSize val="0"/>
        </c:dLbls>
        <c:gapWidth val="219"/>
        <c:overlap val="-27"/>
        <c:axId val="337243552"/>
        <c:axId val="378335216"/>
      </c:barChart>
      <c:catAx>
        <c:axId val="33724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78335216"/>
        <c:crosses val="autoZero"/>
        <c:auto val="1"/>
        <c:lblAlgn val="ctr"/>
        <c:lblOffset val="100"/>
        <c:noMultiLvlLbl val="0"/>
      </c:catAx>
      <c:valAx>
        <c:axId val="378335216"/>
        <c:scaling>
          <c:orientation val="minMax"/>
        </c:scaling>
        <c:delete val="0"/>
        <c:axPos val="l"/>
        <c:numFmt formatCode="#,##0.00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337243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r>
              <a:rPr lang="en-US" sz="2000" b="1"/>
              <a:t>Incremental Net Health Benefit</a:t>
            </a:r>
            <a:br>
              <a:rPr lang="en-US" sz="2000" b="1"/>
            </a:br>
            <a:r>
              <a:rPr lang="en-US" sz="2000" b="1"/>
              <a:t>(HALYs)</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'Net Calcs'!$L$6</c:f>
              <c:strCache>
                <c:ptCount val="1"/>
                <c:pt idx="0">
                  <c:v>Universal vs No NRT</c:v>
                </c:pt>
              </c:strCache>
            </c:strRef>
          </c:tx>
          <c:spPr>
            <a:solidFill>
              <a:schemeClr val="accent3">
                <a:shade val="65000"/>
              </a:schemeClr>
            </a:solidFill>
            <a:ln>
              <a:noFill/>
            </a:ln>
            <a:effectLst/>
          </c:spPr>
          <c:invertIfNegative val="0"/>
          <c:cat>
            <c:strRef>
              <c:f>'Net Calcs'!$K$7:$K$16</c:f>
              <c:strCache>
                <c:ptCount val="10"/>
                <c:pt idx="0">
                  <c:v>S1</c:v>
                </c:pt>
                <c:pt idx="1">
                  <c:v>S2</c:v>
                </c:pt>
                <c:pt idx="2">
                  <c:v>S3</c:v>
                </c:pt>
                <c:pt idx="3">
                  <c:v>S4</c:v>
                </c:pt>
                <c:pt idx="4">
                  <c:v>S5</c:v>
                </c:pt>
                <c:pt idx="5">
                  <c:v>N1</c:v>
                </c:pt>
                <c:pt idx="6">
                  <c:v>N2</c:v>
                </c:pt>
                <c:pt idx="7">
                  <c:v>N3</c:v>
                </c:pt>
                <c:pt idx="8">
                  <c:v>N4</c:v>
                </c:pt>
                <c:pt idx="9">
                  <c:v>N5</c:v>
                </c:pt>
              </c:strCache>
            </c:strRef>
          </c:cat>
          <c:val>
            <c:numRef>
              <c:f>'Net Calcs'!$L$7:$L$16</c:f>
              <c:numCache>
                <c:formatCode>0</c:formatCode>
                <c:ptCount val="10"/>
                <c:pt idx="0">
                  <c:v>418.67034207914213</c:v>
                </c:pt>
                <c:pt idx="1">
                  <c:v>514.04429212853734</c:v>
                </c:pt>
                <c:pt idx="2">
                  <c:v>665.20531452688579</c:v>
                </c:pt>
                <c:pt idx="3">
                  <c:v>353.78090247883108</c:v>
                </c:pt>
                <c:pt idx="4">
                  <c:v>390.92875156885231</c:v>
                </c:pt>
                <c:pt idx="5">
                  <c:v>1113.6803488967189</c:v>
                </c:pt>
                <c:pt idx="6">
                  <c:v>569.40514857510573</c:v>
                </c:pt>
                <c:pt idx="7">
                  <c:v>514.89457726730109</c:v>
                </c:pt>
                <c:pt idx="8">
                  <c:v>340.37316232636681</c:v>
                </c:pt>
                <c:pt idx="9">
                  <c:v>265.28952243748165</c:v>
                </c:pt>
              </c:numCache>
            </c:numRef>
          </c:val>
          <c:extLst>
            <c:ext xmlns:c16="http://schemas.microsoft.com/office/drawing/2014/chart" uri="{C3380CC4-5D6E-409C-BE32-E72D297353CC}">
              <c16:uniqueId val="{00000000-B684-476F-940F-9934704D65C3}"/>
            </c:ext>
          </c:extLst>
        </c:ser>
        <c:ser>
          <c:idx val="1"/>
          <c:order val="1"/>
          <c:tx>
            <c:strRef>
              <c:f>'Net Calcs'!$M$6</c:f>
              <c:strCache>
                <c:ptCount val="1"/>
                <c:pt idx="0">
                  <c:v>Proportional Universal vs No NRT</c:v>
                </c:pt>
              </c:strCache>
            </c:strRef>
          </c:tx>
          <c:spPr>
            <a:solidFill>
              <a:schemeClr val="accent3"/>
            </a:solidFill>
            <a:ln>
              <a:noFill/>
            </a:ln>
            <a:effectLst/>
          </c:spPr>
          <c:invertIfNegative val="0"/>
          <c:cat>
            <c:strRef>
              <c:f>'Net Calcs'!$K$7:$K$16</c:f>
              <c:strCache>
                <c:ptCount val="10"/>
                <c:pt idx="0">
                  <c:v>S1</c:v>
                </c:pt>
                <c:pt idx="1">
                  <c:v>S2</c:v>
                </c:pt>
                <c:pt idx="2">
                  <c:v>S3</c:v>
                </c:pt>
                <c:pt idx="3">
                  <c:v>S4</c:v>
                </c:pt>
                <c:pt idx="4">
                  <c:v>S5</c:v>
                </c:pt>
                <c:pt idx="5">
                  <c:v>N1</c:v>
                </c:pt>
                <c:pt idx="6">
                  <c:v>N2</c:v>
                </c:pt>
                <c:pt idx="7">
                  <c:v>N3</c:v>
                </c:pt>
                <c:pt idx="8">
                  <c:v>N4</c:v>
                </c:pt>
                <c:pt idx="9">
                  <c:v>N5</c:v>
                </c:pt>
              </c:strCache>
            </c:strRef>
          </c:cat>
          <c:val>
            <c:numRef>
              <c:f>'Net Calcs'!$M$7:$M$16</c:f>
              <c:numCache>
                <c:formatCode>0</c:formatCode>
                <c:ptCount val="10"/>
              </c:numCache>
            </c:numRef>
          </c:val>
          <c:extLst>
            <c:ext xmlns:c16="http://schemas.microsoft.com/office/drawing/2014/chart" uri="{C3380CC4-5D6E-409C-BE32-E72D297353CC}">
              <c16:uniqueId val="{00000001-B684-476F-940F-9934704D65C3}"/>
            </c:ext>
          </c:extLst>
        </c:ser>
        <c:ser>
          <c:idx val="2"/>
          <c:order val="2"/>
          <c:tx>
            <c:strRef>
              <c:f>'Net Calcs'!$N$6</c:f>
              <c:strCache>
                <c:ptCount val="1"/>
                <c:pt idx="0">
                  <c:v>Proportion Universal vs Universal</c:v>
                </c:pt>
              </c:strCache>
            </c:strRef>
          </c:tx>
          <c:spPr>
            <a:solidFill>
              <a:schemeClr val="accent3">
                <a:tint val="65000"/>
              </a:schemeClr>
            </a:solidFill>
            <a:ln>
              <a:noFill/>
            </a:ln>
            <a:effectLst/>
          </c:spPr>
          <c:invertIfNegative val="0"/>
          <c:cat>
            <c:strRef>
              <c:f>'Net Calcs'!$K$7:$K$16</c:f>
              <c:strCache>
                <c:ptCount val="10"/>
                <c:pt idx="0">
                  <c:v>S1</c:v>
                </c:pt>
                <c:pt idx="1">
                  <c:v>S2</c:v>
                </c:pt>
                <c:pt idx="2">
                  <c:v>S3</c:v>
                </c:pt>
                <c:pt idx="3">
                  <c:v>S4</c:v>
                </c:pt>
                <c:pt idx="4">
                  <c:v>S5</c:v>
                </c:pt>
                <c:pt idx="5">
                  <c:v>N1</c:v>
                </c:pt>
                <c:pt idx="6">
                  <c:v>N2</c:v>
                </c:pt>
                <c:pt idx="7">
                  <c:v>N3</c:v>
                </c:pt>
                <c:pt idx="8">
                  <c:v>N4</c:v>
                </c:pt>
                <c:pt idx="9">
                  <c:v>N5</c:v>
                </c:pt>
              </c:strCache>
            </c:strRef>
          </c:cat>
          <c:val>
            <c:numRef>
              <c:f>'Net Calcs'!$N$7:$N$16</c:f>
              <c:numCache>
                <c:formatCode>0</c:formatCode>
                <c:ptCount val="10"/>
              </c:numCache>
            </c:numRef>
          </c:val>
          <c:extLst>
            <c:ext xmlns:c16="http://schemas.microsoft.com/office/drawing/2014/chart" uri="{C3380CC4-5D6E-409C-BE32-E72D297353CC}">
              <c16:uniqueId val="{00000002-B684-476F-940F-9934704D65C3}"/>
            </c:ext>
          </c:extLst>
        </c:ser>
        <c:dLbls>
          <c:showLegendKey val="0"/>
          <c:showVal val="0"/>
          <c:showCatName val="0"/>
          <c:showSerName val="0"/>
          <c:showPercent val="0"/>
          <c:showBubbleSize val="0"/>
        </c:dLbls>
        <c:gapWidth val="219"/>
        <c:overlap val="-27"/>
        <c:axId val="375656704"/>
        <c:axId val="428946576"/>
      </c:barChart>
      <c:catAx>
        <c:axId val="375656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428946576"/>
        <c:crosses val="autoZero"/>
        <c:auto val="1"/>
        <c:lblAlgn val="ctr"/>
        <c:lblOffset val="100"/>
        <c:noMultiLvlLbl val="0"/>
      </c:catAx>
      <c:valAx>
        <c:axId val="4289465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crossAx val="3756567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n-GB" sz="1400" b="1">
                <a:solidFill>
                  <a:schemeClr val="tx1"/>
                </a:solidFill>
                <a:latin typeface="Arial" panose="020B0604020202020204" pitchFamily="34" charset="0"/>
                <a:cs typeface="Arial" panose="020B0604020202020204" pitchFamily="34" charset="0"/>
              </a:rPr>
              <a:t>Baseline: No NRT</a:t>
            </a:r>
          </a:p>
        </c:rich>
      </c:tx>
      <c:layout>
        <c:manualLayout>
          <c:xMode val="edge"/>
          <c:yMode val="edge"/>
          <c:x val="0.40186163194444446"/>
          <c:y val="5.4330419644738948E-2"/>
        </c:manualLayout>
      </c:layout>
      <c:overlay val="0"/>
      <c:spPr>
        <a:noFill/>
        <a:ln>
          <a:noFill/>
        </a:ln>
        <a:effectLst/>
      </c:spPr>
    </c:title>
    <c:autoTitleDeleted val="0"/>
    <c:plotArea>
      <c:layout>
        <c:manualLayout>
          <c:layoutTarget val="inner"/>
          <c:xMode val="edge"/>
          <c:yMode val="edge"/>
          <c:x val="0.12677031250000001"/>
          <c:y val="0.17721442091900833"/>
          <c:w val="0.82739618055555553"/>
          <c:h val="0.64715059051889967"/>
        </c:manualLayout>
      </c:layout>
      <c:scatterChart>
        <c:scatterStyle val="lineMarker"/>
        <c:varyColors val="0"/>
        <c:ser>
          <c:idx val="1"/>
          <c:order val="0"/>
          <c:tx>
            <c:strRef>
              <c:f>'Equity Impact'!$A$28</c:f>
              <c:strCache>
                <c:ptCount val="1"/>
                <c:pt idx="0">
                  <c:v>Universal vs No NRT</c:v>
                </c:pt>
              </c:strCache>
            </c:strRef>
          </c:tx>
          <c:spPr>
            <a:ln w="25400" cap="rnd">
              <a:noFill/>
              <a:round/>
            </a:ln>
            <a:effectLst/>
          </c:spPr>
          <c:marker>
            <c:symbol val="circle"/>
            <c:size val="8"/>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'Equity Impact'!$K$28</c:f>
              <c:numCache>
                <c:formatCode>0.00</c:formatCode>
                <c:ptCount val="1"/>
                <c:pt idx="0">
                  <c:v>0.94578611697926362</c:v>
                </c:pt>
              </c:numCache>
            </c:numRef>
          </c:xVal>
          <c:yVal>
            <c:numRef>
              <c:f>'Equity Impact'!$J$28</c:f>
              <c:numCache>
                <c:formatCode>0</c:formatCode>
                <c:ptCount val="1"/>
                <c:pt idx="0">
                  <c:v>5146.2723622852227</c:v>
                </c:pt>
              </c:numCache>
            </c:numRef>
          </c:yVal>
          <c:smooth val="0"/>
          <c:extLst>
            <c:ext xmlns:c16="http://schemas.microsoft.com/office/drawing/2014/chart" uri="{C3380CC4-5D6E-409C-BE32-E72D297353CC}">
              <c16:uniqueId val="{00000002-CBCC-400F-BC3A-F4887CAF621E}"/>
            </c:ext>
          </c:extLst>
        </c:ser>
        <c:ser>
          <c:idx val="0"/>
          <c:order val="1"/>
          <c:tx>
            <c:strRef>
              <c:f>'Equity Impact'!$A$29</c:f>
              <c:strCache>
                <c:ptCount val="1"/>
                <c:pt idx="0">
                  <c:v>Proportional Universal vs No NRT</c:v>
                </c:pt>
              </c:strCache>
            </c:strRef>
          </c:tx>
          <c:spPr>
            <a:ln w="25400" cap="rnd">
              <a:noFill/>
              <a:round/>
            </a:ln>
            <a:effectLst/>
          </c:spPr>
          <c:marker>
            <c:symbol val="circle"/>
            <c:size val="8"/>
            <c:spPr>
              <a:solidFill>
                <a:schemeClr val="accent1"/>
              </a:solidFill>
              <a:ln w="9525">
                <a:solidFill>
                  <a:schemeClr val="accent1"/>
                </a:solidFill>
              </a:ln>
              <a:effectLst/>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1"/>
              </c:ext>
            </c:extLst>
          </c:dLbls>
          <c:xVal>
            <c:numRef>
              <c:f>'Equity Impact'!$K$29</c:f>
              <c:numCache>
                <c:formatCode>0.00</c:formatCode>
                <c:ptCount val="1"/>
                <c:pt idx="0">
                  <c:v>0</c:v>
                </c:pt>
              </c:numCache>
            </c:numRef>
          </c:xVal>
          <c:yVal>
            <c:numRef>
              <c:f>'Equity Impact'!$J$29</c:f>
              <c:numCache>
                <c:formatCode>0</c:formatCode>
                <c:ptCount val="1"/>
              </c:numCache>
            </c:numRef>
          </c:yVal>
          <c:smooth val="0"/>
          <c:extLst>
            <c:ext xmlns:c16="http://schemas.microsoft.com/office/drawing/2014/chart" uri="{C3380CC4-5D6E-409C-BE32-E72D297353CC}">
              <c16:uniqueId val="{00000004-CBCC-400F-BC3A-F4887CAF621E}"/>
            </c:ext>
          </c:extLst>
        </c:ser>
        <c:dLbls>
          <c:showLegendKey val="0"/>
          <c:showVal val="0"/>
          <c:showCatName val="0"/>
          <c:showSerName val="0"/>
          <c:showPercent val="0"/>
          <c:showBubbleSize val="0"/>
        </c:dLbls>
        <c:axId val="351820520"/>
        <c:axId val="351818880"/>
      </c:scatterChart>
      <c:valAx>
        <c:axId val="351820520"/>
        <c:scaling>
          <c:orientation val="minMax"/>
          <c:min val="0"/>
        </c:scaling>
        <c:delete val="0"/>
        <c:axPos val="b"/>
        <c:majorGridlines>
          <c:spPr>
            <a:ln w="9525" cap="flat" cmpd="sng" algn="ctr">
              <a:noFill/>
              <a:round/>
            </a:ln>
            <a:effectLst/>
          </c:spPr>
        </c:majorGridlines>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sz="1200" b="1" i="0" baseline="0">
                    <a:effectLst/>
                  </a:rPr>
                  <a:t>Equity benefit (SII x 10</a:t>
                </a:r>
                <a:r>
                  <a:rPr lang="en-GB" sz="1200" b="1" i="0" baseline="30000">
                    <a:effectLst/>
                  </a:rPr>
                  <a:t>4</a:t>
                </a:r>
                <a:r>
                  <a:rPr lang="en-GB" sz="1200" b="1" i="0" baseline="0">
                    <a:effectLst/>
                  </a:rPr>
                  <a:t>)</a:t>
                </a:r>
                <a:endParaRPr lang="en-GB" sz="1200">
                  <a:effectLst/>
                </a:endParaRPr>
              </a:p>
            </c:rich>
          </c:tx>
          <c:layout>
            <c:manualLayout>
              <c:xMode val="edge"/>
              <c:yMode val="edge"/>
              <c:x val="0.39485937500000001"/>
              <c:y val="0.90479416951712777"/>
            </c:manualLayout>
          </c:layout>
          <c:overlay val="0"/>
          <c:spPr>
            <a:noFill/>
            <a:ln>
              <a:noFill/>
            </a:ln>
            <a:effectLst/>
          </c:spPr>
        </c:title>
        <c:numFmt formatCode="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51818880"/>
        <c:crosses val="autoZero"/>
        <c:crossBetween val="midCat"/>
      </c:valAx>
      <c:valAx>
        <c:axId val="351818880"/>
        <c:scaling>
          <c:orientation val="minMax"/>
          <c:min val="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b="1">
                    <a:latin typeface="Arial" panose="020B0604020202020204" pitchFamily="34" charset="0"/>
                    <a:cs typeface="Arial" panose="020B0604020202020204" pitchFamily="34" charset="0"/>
                  </a:rPr>
                  <a:t>Health benefit (HALYs)</a:t>
                </a:r>
              </a:p>
            </c:rich>
          </c:tx>
          <c:layout>
            <c:manualLayout>
              <c:xMode val="edge"/>
              <c:yMode val="edge"/>
              <c:x val="1.1024305555555556E-2"/>
              <c:y val="0.25773403575734938"/>
            </c:manualLayout>
          </c:layout>
          <c:overlay val="0"/>
          <c:spPr>
            <a:noFill/>
            <a:ln>
              <a:noFill/>
            </a:ln>
            <a:effectLst/>
          </c:sp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5182052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n-GB" sz="1400" b="1">
                <a:solidFill>
                  <a:schemeClr val="tx1"/>
                </a:solidFill>
                <a:latin typeface="Arial" panose="020B0604020202020204" pitchFamily="34" charset="0"/>
                <a:cs typeface="Arial" panose="020B0604020202020204" pitchFamily="34" charset="0"/>
              </a:rPr>
              <a:t>Baseline: Universal</a:t>
            </a:r>
          </a:p>
        </c:rich>
      </c:tx>
      <c:layout>
        <c:manualLayout>
          <c:xMode val="edge"/>
          <c:yMode val="edge"/>
          <c:x val="0.41950052083333333"/>
          <c:y val="4.708636369210708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677031250000001"/>
          <c:y val="0.17721442091900833"/>
          <c:w val="0.82739618055555553"/>
          <c:h val="0.64715059051889967"/>
        </c:manualLayout>
      </c:layout>
      <c:scatterChart>
        <c:scatterStyle val="lineMarker"/>
        <c:varyColors val="0"/>
        <c:ser>
          <c:idx val="0"/>
          <c:order val="0"/>
          <c:tx>
            <c:strRef>
              <c:f>'Equity Impact'!$A$30</c:f>
              <c:strCache>
                <c:ptCount val="1"/>
                <c:pt idx="0">
                  <c:v>Proportional Universal vs Universal</c:v>
                </c:pt>
              </c:strCache>
            </c:strRef>
          </c:tx>
          <c:spPr>
            <a:ln w="25400" cap="rnd">
              <a:noFill/>
              <a:round/>
            </a:ln>
            <a:effectLst/>
          </c:spPr>
          <c:marker>
            <c:symbol val="circle"/>
            <c:size val="8"/>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'Equity Impact'!$K$30</c:f>
              <c:numCache>
                <c:formatCode>0.00</c:formatCode>
                <c:ptCount val="1"/>
                <c:pt idx="0">
                  <c:v>0</c:v>
                </c:pt>
              </c:numCache>
            </c:numRef>
          </c:xVal>
          <c:yVal>
            <c:numRef>
              <c:f>'Equity Impact'!$J$30</c:f>
              <c:numCache>
                <c:formatCode>0</c:formatCode>
                <c:ptCount val="1"/>
              </c:numCache>
            </c:numRef>
          </c:yVal>
          <c:smooth val="0"/>
          <c:extLst>
            <c:ext xmlns:c16="http://schemas.microsoft.com/office/drawing/2014/chart" uri="{C3380CC4-5D6E-409C-BE32-E72D297353CC}">
              <c16:uniqueId val="{00000001-4BBB-40D4-93A9-0C17E16CFA9C}"/>
            </c:ext>
          </c:extLst>
        </c:ser>
        <c:dLbls>
          <c:showLegendKey val="0"/>
          <c:showVal val="0"/>
          <c:showCatName val="0"/>
          <c:showSerName val="0"/>
          <c:showPercent val="0"/>
          <c:showBubbleSize val="0"/>
        </c:dLbls>
        <c:axId val="351820520"/>
        <c:axId val="351818880"/>
      </c:scatterChart>
      <c:valAx>
        <c:axId val="35182052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GB" sz="1200" b="1" i="0" baseline="0">
                    <a:effectLst/>
                  </a:rPr>
                  <a:t>Equity benefit (SII x 10</a:t>
                </a:r>
                <a:r>
                  <a:rPr lang="en-GB" sz="1200" b="1" i="0" baseline="30000">
                    <a:effectLst/>
                  </a:rPr>
                  <a:t>4</a:t>
                </a:r>
                <a:r>
                  <a:rPr lang="en-GB" sz="1200" b="1" i="0" baseline="0">
                    <a:effectLst/>
                  </a:rPr>
                  <a:t>)</a:t>
                </a:r>
                <a:endParaRPr lang="en-GB" sz="1200">
                  <a:effectLst/>
                </a:endParaRPr>
              </a:p>
            </c:rich>
          </c:tx>
          <c:layout>
            <c:manualLayout>
              <c:xMode val="edge"/>
              <c:yMode val="edge"/>
              <c:x val="0.39706423611111114"/>
              <c:y val="0.88306211378700716"/>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51818880"/>
        <c:crosses val="autoZero"/>
        <c:crossBetween val="midCat"/>
      </c:valAx>
      <c:valAx>
        <c:axId val="351818880"/>
        <c:scaling>
          <c:orientation val="minMax"/>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200" b="1">
                    <a:latin typeface="Arial" panose="020B0604020202020204" pitchFamily="34" charset="0"/>
                    <a:cs typeface="Arial" panose="020B0604020202020204" pitchFamily="34" charset="0"/>
                  </a:rPr>
                  <a:t>Health benefit (HALYs)</a:t>
                </a:r>
              </a:p>
            </c:rich>
          </c:tx>
          <c:layout>
            <c:manualLayout>
              <c:xMode val="edge"/>
              <c:yMode val="edge"/>
              <c:x val="1.5433990598668351E-2"/>
              <c:y val="0.24724776740190729"/>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5182052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6">
  <a:schemeClr val="accent3"/>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100-000000000000}">
  <sheetPr/>
  <sheetViews>
    <sheetView zoomScale="122" workbookViewId="0" zoomToFit="1"/>
  </sheetViews>
  <pageMargins left="0.7" right="0.7" top="0.75" bottom="0.75" header="0.3" footer="0.3"/>
  <drawing r:id="rId1"/>
</chartsheet>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171450</xdr:colOff>
      <xdr:row>2</xdr:row>
      <xdr:rowOff>9525</xdr:rowOff>
    </xdr:from>
    <xdr:to>
      <xdr:col>12</xdr:col>
      <xdr:colOff>581025</xdr:colOff>
      <xdr:row>4</xdr:row>
      <xdr:rowOff>142875</xdr:rowOff>
    </xdr:to>
    <xdr:sp macro="" textlink="">
      <xdr:nvSpPr>
        <xdr:cNvPr id="2" name="Rounded Rectangle 1">
          <a:extLst>
            <a:ext uri="{FF2B5EF4-FFF2-40B4-BE49-F238E27FC236}">
              <a16:creationId xmlns:a16="http://schemas.microsoft.com/office/drawing/2014/main" id="{24FDB731-4C18-489B-BED8-13736FCBF402}"/>
            </a:ext>
          </a:extLst>
        </xdr:cNvPr>
        <xdr:cNvSpPr/>
      </xdr:nvSpPr>
      <xdr:spPr>
        <a:xfrm>
          <a:off x="4905375" y="485775"/>
          <a:ext cx="4143375" cy="495300"/>
        </a:xfrm>
        <a:prstGeom prst="roundRect">
          <a:avLst/>
        </a:prstGeom>
        <a:solidFill>
          <a:schemeClr val="bg1"/>
        </a:solidFill>
        <a:ln>
          <a:solidFill>
            <a:schemeClr val="tx2">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n-GB" sz="1400" b="1" baseline="0">
              <a:solidFill>
                <a:schemeClr val="tx1"/>
              </a:solidFill>
              <a:latin typeface="Arial" panose="020B0604020202020204" pitchFamily="34" charset="0"/>
              <a:cs typeface="Arial" panose="020B0604020202020204" pitchFamily="34" charset="0"/>
            </a:rPr>
            <a:t>How this fits with the other training exercises</a:t>
          </a:r>
          <a:endParaRPr lang="en-GB" sz="1400" b="1">
            <a:solidFill>
              <a:schemeClr val="tx1"/>
            </a:solidFill>
            <a:latin typeface="Arial" panose="020B0604020202020204" pitchFamily="34" charset="0"/>
            <a:cs typeface="Arial" panose="020B0604020202020204" pitchFamily="34" charset="0"/>
          </a:endParaRPr>
        </a:p>
      </xdr:txBody>
    </xdr:sp>
    <xdr:clientData/>
  </xdr:twoCellAnchor>
  <xdr:twoCellAnchor>
    <xdr:from>
      <xdr:col>6</xdr:col>
      <xdr:colOff>638175</xdr:colOff>
      <xdr:row>6</xdr:row>
      <xdr:rowOff>19050</xdr:rowOff>
    </xdr:from>
    <xdr:to>
      <xdr:col>13</xdr:col>
      <xdr:colOff>165670</xdr:colOff>
      <xdr:row>20</xdr:row>
      <xdr:rowOff>174079</xdr:rowOff>
    </xdr:to>
    <xdr:sp macro="" textlink="">
      <xdr:nvSpPr>
        <xdr:cNvPr id="3" name="Rounded Rectangle 5">
          <a:extLst>
            <a:ext uri="{FF2B5EF4-FFF2-40B4-BE49-F238E27FC236}">
              <a16:creationId xmlns:a16="http://schemas.microsoft.com/office/drawing/2014/main" id="{E9AF0972-550D-423F-ABFD-559F04A7AB0A}"/>
            </a:ext>
          </a:extLst>
        </xdr:cNvPr>
        <xdr:cNvSpPr/>
      </xdr:nvSpPr>
      <xdr:spPr>
        <a:xfrm>
          <a:off x="4695825" y="1219200"/>
          <a:ext cx="4613845" cy="2688679"/>
        </a:xfrm>
        <a:prstGeom prst="roundRect">
          <a:avLst/>
        </a:prstGeom>
        <a:solidFill>
          <a:schemeClr val="bg1"/>
        </a:solidFill>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800" b="1" i="0" u="none" strike="noStrike" kern="120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Simulating Distributions</a:t>
          </a:r>
        </a:p>
      </xdr:txBody>
    </xdr:sp>
    <xdr:clientData/>
  </xdr:twoCellAnchor>
  <xdr:twoCellAnchor>
    <xdr:from>
      <xdr:col>7</xdr:col>
      <xdr:colOff>326571</xdr:colOff>
      <xdr:row>22</xdr:row>
      <xdr:rowOff>136335</xdr:rowOff>
    </xdr:from>
    <xdr:to>
      <xdr:col>12</xdr:col>
      <xdr:colOff>515133</xdr:colOff>
      <xdr:row>34</xdr:row>
      <xdr:rowOff>126678</xdr:rowOff>
    </xdr:to>
    <xdr:sp macro="" textlink="">
      <xdr:nvSpPr>
        <xdr:cNvPr id="4" name="Rounded Rectangle 5">
          <a:extLst>
            <a:ext uri="{FF2B5EF4-FFF2-40B4-BE49-F238E27FC236}">
              <a16:creationId xmlns:a16="http://schemas.microsoft.com/office/drawing/2014/main" id="{76ADAC36-B82F-4655-A36D-C5937C952043}"/>
            </a:ext>
          </a:extLst>
        </xdr:cNvPr>
        <xdr:cNvSpPr/>
      </xdr:nvSpPr>
      <xdr:spPr>
        <a:xfrm>
          <a:off x="5060496" y="4232085"/>
          <a:ext cx="3922362" cy="2162043"/>
        </a:xfrm>
        <a:prstGeom prst="roundRect">
          <a:avLst/>
        </a:prstGeom>
        <a:solidFill>
          <a:schemeClr val="bg1"/>
        </a:solidFill>
      </xdr:spPr>
      <xdr:style>
        <a:lnRef idx="2">
          <a:schemeClr val="dk1"/>
        </a:lnRef>
        <a:fillRef idx="1">
          <a:schemeClr val="lt1"/>
        </a:fillRef>
        <a:effectRef idx="0">
          <a:schemeClr val="dk1"/>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800" b="1" i="0" u="none" strike="noStrike" kern="120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Evaluating Distributions</a:t>
          </a:r>
        </a:p>
      </xdr:txBody>
    </xdr:sp>
    <xdr:clientData/>
  </xdr:twoCellAnchor>
  <xdr:twoCellAnchor>
    <xdr:from>
      <xdr:col>10</xdr:col>
      <xdr:colOff>358154</xdr:colOff>
      <xdr:row>30</xdr:row>
      <xdr:rowOff>11742</xdr:rowOff>
    </xdr:from>
    <xdr:to>
      <xdr:col>12</xdr:col>
      <xdr:colOff>273481</xdr:colOff>
      <xdr:row>33</xdr:row>
      <xdr:rowOff>98102</xdr:rowOff>
    </xdr:to>
    <xdr:sp macro="" textlink="">
      <xdr:nvSpPr>
        <xdr:cNvPr id="5" name="Rounded Rectangle 5">
          <a:extLst>
            <a:ext uri="{FF2B5EF4-FFF2-40B4-BE49-F238E27FC236}">
              <a16:creationId xmlns:a16="http://schemas.microsoft.com/office/drawing/2014/main" id="{56CA259F-6497-4E29-A75D-971BAEAB6F11}"/>
            </a:ext>
          </a:extLst>
        </xdr:cNvPr>
        <xdr:cNvSpPr/>
      </xdr:nvSpPr>
      <xdr:spPr>
        <a:xfrm>
          <a:off x="7120904" y="5555292"/>
          <a:ext cx="1620302" cy="629285"/>
        </a:xfrm>
        <a:prstGeom prst="roundRect">
          <a:avLst/>
        </a:prstGeom>
        <a:solidFill>
          <a:schemeClr val="tx2">
            <a:lumMod val="60000"/>
            <a:lumOff val="40000"/>
          </a:schemeClr>
        </a:solid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algn="ctr">
            <a:defRPr/>
          </a:pPr>
          <a:r>
            <a:rPr lang="en-GB" sz="1200" b="1">
              <a:solidFill>
                <a:prstClr val="white"/>
              </a:solidFill>
              <a:latin typeface="Arial" panose="020B0604020202020204" pitchFamily="34" charset="0"/>
              <a:cs typeface="Arial" panose="020B0604020202020204" pitchFamily="34" charset="0"/>
            </a:rPr>
            <a:t>Ex 14: </a:t>
          </a:r>
        </a:p>
        <a:p>
          <a:pPr lvl="0" algn="ctr">
            <a:defRPr/>
          </a:pPr>
          <a:r>
            <a:rPr lang="en-GB" sz="1200" b="1">
              <a:solidFill>
                <a:prstClr val="white"/>
              </a:solidFill>
              <a:latin typeface="Arial" panose="020B0604020202020204" pitchFamily="34" charset="0"/>
              <a:cs typeface="Arial" panose="020B0604020202020204" pitchFamily="34" charset="0"/>
            </a:rPr>
            <a:t>Direct </a:t>
          </a:r>
        </a:p>
        <a:p>
          <a:pPr lvl="0" algn="ctr">
            <a:defRPr/>
          </a:pPr>
          <a:r>
            <a:rPr lang="en-GB" sz="1200" b="1">
              <a:solidFill>
                <a:prstClr val="white"/>
              </a:solidFill>
              <a:latin typeface="Arial" panose="020B0604020202020204" pitchFamily="34" charset="0"/>
              <a:cs typeface="Arial" panose="020B0604020202020204" pitchFamily="34" charset="0"/>
            </a:rPr>
            <a:t>equity weights</a:t>
          </a:r>
          <a:endPar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7</xdr:col>
      <xdr:colOff>581003</xdr:colOff>
      <xdr:row>30</xdr:row>
      <xdr:rowOff>19259</xdr:rowOff>
    </xdr:from>
    <xdr:to>
      <xdr:col>10</xdr:col>
      <xdr:colOff>146805</xdr:colOff>
      <xdr:row>33</xdr:row>
      <xdr:rowOff>105619</xdr:rowOff>
    </xdr:to>
    <xdr:sp macro="" textlink="">
      <xdr:nvSpPr>
        <xdr:cNvPr id="6" name="Rounded Rectangle 5">
          <a:extLst>
            <a:ext uri="{FF2B5EF4-FFF2-40B4-BE49-F238E27FC236}">
              <a16:creationId xmlns:a16="http://schemas.microsoft.com/office/drawing/2014/main" id="{3ECBF980-601E-43E8-900D-68FEB4099FED}"/>
            </a:ext>
          </a:extLst>
        </xdr:cNvPr>
        <xdr:cNvSpPr/>
      </xdr:nvSpPr>
      <xdr:spPr>
        <a:xfrm>
          <a:off x="5314928" y="5562809"/>
          <a:ext cx="1594627" cy="629285"/>
        </a:xfrm>
        <a:prstGeom prst="roundRect">
          <a:avLst/>
        </a:prstGeom>
        <a:solidFill>
          <a:schemeClr val="tx2">
            <a:lumMod val="60000"/>
            <a:lumOff val="40000"/>
          </a:schemeClr>
        </a:solid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GB" sz="1200" b="1">
              <a:solidFill>
                <a:prstClr val="white"/>
              </a:solidFill>
              <a:latin typeface="Arial" panose="020B0604020202020204" pitchFamily="34" charset="0"/>
              <a:cs typeface="Arial" panose="020B0604020202020204" pitchFamily="34" charset="0"/>
            </a:rPr>
            <a:t>Ex 13: </a:t>
          </a:r>
        </a:p>
        <a:p>
          <a:pPr marL="0" marR="0" lvl="0" indent="0" algn="ctr" defTabSz="914400" rtl="0" eaLnBrk="1" fontAlgn="auto" latinLnBrk="0" hangingPunct="1">
            <a:lnSpc>
              <a:spcPct val="100000"/>
            </a:lnSpc>
            <a:spcBef>
              <a:spcPts val="0"/>
            </a:spcBef>
            <a:spcAft>
              <a:spcPts val="0"/>
            </a:spcAft>
            <a:buClrTx/>
            <a:buSzTx/>
            <a:buFontTx/>
            <a:buNone/>
            <a:tabLst/>
            <a:defRPr/>
          </a:pPr>
          <a:r>
            <a:rPr lang="en-GB" sz="1200" b="1">
              <a:solidFill>
                <a:prstClr val="white"/>
              </a:solidFill>
              <a:latin typeface="Arial" panose="020B0604020202020204" pitchFamily="34" charset="0"/>
              <a:cs typeface="Arial" panose="020B0604020202020204" pitchFamily="34" charset="0"/>
            </a:rPr>
            <a:t>Level-dependent </a:t>
          </a:r>
          <a:br>
            <a:rPr lang="en-GB" sz="1200" b="1">
              <a:solidFill>
                <a:prstClr val="white"/>
              </a:solidFill>
              <a:latin typeface="Arial" panose="020B0604020202020204" pitchFamily="34" charset="0"/>
              <a:cs typeface="Arial" panose="020B0604020202020204" pitchFamily="34" charset="0"/>
            </a:rPr>
          </a:br>
          <a:r>
            <a:rPr lang="en-GB" sz="1200" b="1">
              <a:solidFill>
                <a:prstClr val="white"/>
              </a:solidFill>
              <a:latin typeface="Arial" panose="020B0604020202020204" pitchFamily="34" charset="0"/>
              <a:cs typeface="Arial" panose="020B0604020202020204" pitchFamily="34" charset="0"/>
            </a:rPr>
            <a:t>equity weights</a:t>
          </a:r>
          <a:endPar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9</xdr:col>
      <xdr:colOff>129095</xdr:colOff>
      <xdr:row>8</xdr:row>
      <xdr:rowOff>152401</xdr:rowOff>
    </xdr:from>
    <xdr:to>
      <xdr:col>11</xdr:col>
      <xdr:colOff>71946</xdr:colOff>
      <xdr:row>11</xdr:row>
      <xdr:rowOff>143049</xdr:rowOff>
    </xdr:to>
    <xdr:sp macro="" textlink="">
      <xdr:nvSpPr>
        <xdr:cNvPr id="7" name="Rounded Rectangle 1">
          <a:extLst>
            <a:ext uri="{FF2B5EF4-FFF2-40B4-BE49-F238E27FC236}">
              <a16:creationId xmlns:a16="http://schemas.microsoft.com/office/drawing/2014/main" id="{FCA76264-C72D-451B-9F37-F9CE6099BF34}"/>
            </a:ext>
          </a:extLst>
        </xdr:cNvPr>
        <xdr:cNvSpPr/>
      </xdr:nvSpPr>
      <xdr:spPr>
        <a:xfrm>
          <a:off x="6215570" y="1714501"/>
          <a:ext cx="1647826" cy="533573"/>
        </a:xfrm>
        <a:prstGeom prst="roundRect">
          <a:avLst/>
        </a:prstGeom>
        <a:solidFill>
          <a:schemeClr val="tx2">
            <a:lumMod val="60000"/>
            <a:lumOff val="40000"/>
          </a:schemeClr>
        </a:solidFill>
        <a:ln>
          <a:solidFill>
            <a:schemeClr val="tx2">
              <a:lumMod val="50000"/>
            </a:schemeClr>
          </a:solidFill>
        </a:ln>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Ex 7:</a:t>
          </a:r>
          <a:b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b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Baseline health</a:t>
          </a:r>
        </a:p>
      </xdr:txBody>
    </xdr:sp>
    <xdr:clientData/>
  </xdr:twoCellAnchor>
  <xdr:twoCellAnchor>
    <xdr:from>
      <xdr:col>7</xdr:col>
      <xdr:colOff>326571</xdr:colOff>
      <xdr:row>12</xdr:row>
      <xdr:rowOff>104775</xdr:rowOff>
    </xdr:from>
    <xdr:to>
      <xdr:col>9</xdr:col>
      <xdr:colOff>645656</xdr:colOff>
      <xdr:row>15</xdr:row>
      <xdr:rowOff>132723</xdr:rowOff>
    </xdr:to>
    <xdr:sp macro="" textlink="">
      <xdr:nvSpPr>
        <xdr:cNvPr id="8" name="Rounded Rectangle 2">
          <a:extLst>
            <a:ext uri="{FF2B5EF4-FFF2-40B4-BE49-F238E27FC236}">
              <a16:creationId xmlns:a16="http://schemas.microsoft.com/office/drawing/2014/main" id="{BD5B45F2-577F-45B9-A412-40B62F1EE189}"/>
            </a:ext>
          </a:extLst>
        </xdr:cNvPr>
        <xdr:cNvSpPr/>
      </xdr:nvSpPr>
      <xdr:spPr>
        <a:xfrm>
          <a:off x="5060496" y="2390775"/>
          <a:ext cx="1671635" cy="570873"/>
        </a:xfrm>
        <a:prstGeom prst="roundRect">
          <a:avLst/>
        </a:prstGeom>
        <a:solidFill>
          <a:schemeClr val="tx2">
            <a:lumMod val="60000"/>
            <a:lumOff val="40000"/>
          </a:schemeClr>
        </a:solid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Ex 8:</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Health benefits</a:t>
          </a:r>
        </a:p>
      </xdr:txBody>
    </xdr:sp>
    <xdr:clientData/>
  </xdr:twoCellAnchor>
  <xdr:twoCellAnchor>
    <xdr:from>
      <xdr:col>10</xdr:col>
      <xdr:colOff>598034</xdr:colOff>
      <xdr:row>12</xdr:row>
      <xdr:rowOff>95250</xdr:rowOff>
    </xdr:from>
    <xdr:to>
      <xdr:col>12</xdr:col>
      <xdr:colOff>515133</xdr:colOff>
      <xdr:row>15</xdr:row>
      <xdr:rowOff>142850</xdr:rowOff>
    </xdr:to>
    <xdr:sp macro="" textlink="">
      <xdr:nvSpPr>
        <xdr:cNvPr id="9" name="Rounded Rectangle 3">
          <a:extLst>
            <a:ext uri="{FF2B5EF4-FFF2-40B4-BE49-F238E27FC236}">
              <a16:creationId xmlns:a16="http://schemas.microsoft.com/office/drawing/2014/main" id="{2A2F6AF6-20A1-4036-8211-FEA82AF8B155}"/>
            </a:ext>
          </a:extLst>
        </xdr:cNvPr>
        <xdr:cNvSpPr/>
      </xdr:nvSpPr>
      <xdr:spPr>
        <a:xfrm>
          <a:off x="7360784" y="2381250"/>
          <a:ext cx="1622074" cy="590525"/>
        </a:xfrm>
        <a:prstGeom prst="roundRect">
          <a:avLst/>
        </a:prstGeom>
        <a:solidFill>
          <a:schemeClr val="accent6">
            <a:lumMod val="60000"/>
            <a:lumOff val="40000"/>
          </a:schemeClr>
        </a:solid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Ex 9: </a:t>
          </a:r>
          <a:b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b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Health opportunity costs</a:t>
          </a:r>
        </a:p>
      </xdr:txBody>
    </xdr:sp>
    <xdr:clientData/>
  </xdr:twoCellAnchor>
  <xdr:twoCellAnchor>
    <xdr:from>
      <xdr:col>9</xdr:col>
      <xdr:colOff>100521</xdr:colOff>
      <xdr:row>16</xdr:row>
      <xdr:rowOff>123826</xdr:rowOff>
    </xdr:from>
    <xdr:to>
      <xdr:col>11</xdr:col>
      <xdr:colOff>90996</xdr:colOff>
      <xdr:row>19</xdr:row>
      <xdr:rowOff>168413</xdr:rowOff>
    </xdr:to>
    <xdr:sp macro="" textlink="">
      <xdr:nvSpPr>
        <xdr:cNvPr id="10" name="Rounded Rectangle 4">
          <a:extLst>
            <a:ext uri="{FF2B5EF4-FFF2-40B4-BE49-F238E27FC236}">
              <a16:creationId xmlns:a16="http://schemas.microsoft.com/office/drawing/2014/main" id="{A059E98C-D82E-4471-909B-1911381D46FF}"/>
            </a:ext>
          </a:extLst>
        </xdr:cNvPr>
        <xdr:cNvSpPr/>
      </xdr:nvSpPr>
      <xdr:spPr>
        <a:xfrm>
          <a:off x="6186996" y="3133726"/>
          <a:ext cx="1695450" cy="587512"/>
        </a:xfrm>
        <a:prstGeom prst="roundRect">
          <a:avLst/>
        </a:prstGeom>
        <a:solidFill>
          <a:schemeClr val="accent6">
            <a:lumMod val="60000"/>
            <a:lumOff val="40000"/>
          </a:schemeClr>
        </a:solid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Ex 9:</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Final health</a:t>
          </a:r>
          <a:b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b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post-decision</a:t>
          </a:r>
        </a:p>
      </xdr:txBody>
    </xdr:sp>
    <xdr:clientData/>
  </xdr:twoCellAnchor>
  <xdr:twoCellAnchor>
    <xdr:from>
      <xdr:col>8</xdr:col>
      <xdr:colOff>486114</xdr:colOff>
      <xdr:row>15</xdr:row>
      <xdr:rowOff>132723</xdr:rowOff>
    </xdr:from>
    <xdr:to>
      <xdr:col>9</xdr:col>
      <xdr:colOff>100521</xdr:colOff>
      <xdr:row>18</xdr:row>
      <xdr:rowOff>55632</xdr:rowOff>
    </xdr:to>
    <xdr:cxnSp macro="">
      <xdr:nvCxnSpPr>
        <xdr:cNvPr id="11" name="Straight Arrow Connector 9">
          <a:extLst>
            <a:ext uri="{FF2B5EF4-FFF2-40B4-BE49-F238E27FC236}">
              <a16:creationId xmlns:a16="http://schemas.microsoft.com/office/drawing/2014/main" id="{26436511-F2EB-4055-989C-D688F4930D5A}"/>
            </a:ext>
          </a:extLst>
        </xdr:cNvPr>
        <xdr:cNvCxnSpPr>
          <a:cxnSpLocks/>
          <a:stCxn id="8" idx="2"/>
          <a:endCxn id="10" idx="1"/>
        </xdr:cNvCxnSpPr>
      </xdr:nvCxnSpPr>
      <xdr:spPr>
        <a:xfrm rot="16200000" flipH="1">
          <a:off x="5808738" y="3049224"/>
          <a:ext cx="465834" cy="290682"/>
        </a:xfrm>
        <a:prstGeom prst="curvedConnector2">
          <a:avLst/>
        </a:prstGeom>
        <a:ln w="38100">
          <a:tailEnd type="triangle" w="lg" len="med"/>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258927</xdr:colOff>
      <xdr:row>19</xdr:row>
      <xdr:rowOff>168413</xdr:rowOff>
    </xdr:from>
    <xdr:to>
      <xdr:col>10</xdr:col>
      <xdr:colOff>271971</xdr:colOff>
      <xdr:row>22</xdr:row>
      <xdr:rowOff>136335</xdr:rowOff>
    </xdr:to>
    <xdr:cxnSp macro="">
      <xdr:nvCxnSpPr>
        <xdr:cNvPr id="12" name="Straight Arrow Connector 11">
          <a:extLst>
            <a:ext uri="{FF2B5EF4-FFF2-40B4-BE49-F238E27FC236}">
              <a16:creationId xmlns:a16="http://schemas.microsoft.com/office/drawing/2014/main" id="{1A1B2DAE-680F-46BD-976B-61503944D7D3}"/>
            </a:ext>
          </a:extLst>
        </xdr:cNvPr>
        <xdr:cNvCxnSpPr>
          <a:cxnSpLocks/>
          <a:stCxn id="10" idx="2"/>
          <a:endCxn id="4" idx="0"/>
        </xdr:cNvCxnSpPr>
      </xdr:nvCxnSpPr>
      <xdr:spPr>
        <a:xfrm flipH="1">
          <a:off x="7021677" y="3721238"/>
          <a:ext cx="13044" cy="510847"/>
        </a:xfrm>
        <a:prstGeom prst="straightConnector1">
          <a:avLst/>
        </a:prstGeom>
        <a:ln w="38100">
          <a:tailEnd type="triangle" w="lg" len="med"/>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90997</xdr:colOff>
      <xdr:row>15</xdr:row>
      <xdr:rowOff>142850</xdr:rowOff>
    </xdr:from>
    <xdr:to>
      <xdr:col>11</xdr:col>
      <xdr:colOff>380372</xdr:colOff>
      <xdr:row>18</xdr:row>
      <xdr:rowOff>55632</xdr:rowOff>
    </xdr:to>
    <xdr:cxnSp macro="">
      <xdr:nvCxnSpPr>
        <xdr:cNvPr id="13" name="Straight Arrow Connector 9">
          <a:extLst>
            <a:ext uri="{FF2B5EF4-FFF2-40B4-BE49-F238E27FC236}">
              <a16:creationId xmlns:a16="http://schemas.microsoft.com/office/drawing/2014/main" id="{B83991F5-5725-4C46-865B-2BBCFEE649AC}"/>
            </a:ext>
          </a:extLst>
        </xdr:cNvPr>
        <xdr:cNvCxnSpPr>
          <a:cxnSpLocks/>
          <a:stCxn id="9" idx="2"/>
          <a:endCxn id="10" idx="3"/>
        </xdr:cNvCxnSpPr>
      </xdr:nvCxnSpPr>
      <xdr:spPr>
        <a:xfrm rot="5400000">
          <a:off x="7799281" y="3054941"/>
          <a:ext cx="455707" cy="289375"/>
        </a:xfrm>
        <a:prstGeom prst="curvedConnector2">
          <a:avLst/>
        </a:prstGeom>
        <a:ln w="38100">
          <a:tailEnd type="triangle" w="lg" len="med"/>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271971</xdr:colOff>
      <xdr:row>11</xdr:row>
      <xdr:rowOff>143049</xdr:rowOff>
    </xdr:from>
    <xdr:to>
      <xdr:col>10</xdr:col>
      <xdr:colOff>276733</xdr:colOff>
      <xdr:row>16</xdr:row>
      <xdr:rowOff>123826</xdr:rowOff>
    </xdr:to>
    <xdr:cxnSp macro="">
      <xdr:nvCxnSpPr>
        <xdr:cNvPr id="14" name="Straight Arrow Connector 13">
          <a:extLst>
            <a:ext uri="{FF2B5EF4-FFF2-40B4-BE49-F238E27FC236}">
              <a16:creationId xmlns:a16="http://schemas.microsoft.com/office/drawing/2014/main" id="{24A75844-91B9-4621-9A59-DDDBE17358D9}"/>
            </a:ext>
          </a:extLst>
        </xdr:cNvPr>
        <xdr:cNvCxnSpPr>
          <a:cxnSpLocks/>
          <a:stCxn id="7" idx="2"/>
          <a:endCxn id="10" idx="0"/>
        </xdr:cNvCxnSpPr>
      </xdr:nvCxnSpPr>
      <xdr:spPr>
        <a:xfrm flipH="1">
          <a:off x="7034721" y="2248074"/>
          <a:ext cx="4762" cy="885652"/>
        </a:xfrm>
        <a:prstGeom prst="straightConnector1">
          <a:avLst/>
        </a:prstGeom>
        <a:ln w="38100">
          <a:tailEnd type="triangle" w="lg" len="med"/>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589063</xdr:colOff>
      <xdr:row>25</xdr:row>
      <xdr:rowOff>132046</xdr:rowOff>
    </xdr:from>
    <xdr:to>
      <xdr:col>10</xdr:col>
      <xdr:colOff>146805</xdr:colOff>
      <xdr:row>29</xdr:row>
      <xdr:rowOff>37431</xdr:rowOff>
    </xdr:to>
    <xdr:sp macro="" textlink="">
      <xdr:nvSpPr>
        <xdr:cNvPr id="15" name="Rounded Rectangle 5">
          <a:extLst>
            <a:ext uri="{FF2B5EF4-FFF2-40B4-BE49-F238E27FC236}">
              <a16:creationId xmlns:a16="http://schemas.microsoft.com/office/drawing/2014/main" id="{0A124E5E-503C-42B0-A207-275DAE0E6B7A}"/>
            </a:ext>
          </a:extLst>
        </xdr:cNvPr>
        <xdr:cNvSpPr/>
      </xdr:nvSpPr>
      <xdr:spPr>
        <a:xfrm>
          <a:off x="5322988" y="4770721"/>
          <a:ext cx="1586567" cy="629285"/>
        </a:xfrm>
        <a:prstGeom prst="roundRect">
          <a:avLst/>
        </a:prstGeom>
        <a:solidFill>
          <a:schemeClr val="tx2">
            <a:lumMod val="60000"/>
            <a:lumOff val="40000"/>
          </a:schemeClr>
        </a:solid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Ex 11: </a:t>
          </a:r>
          <a:b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b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Dominance tests</a:t>
          </a:r>
        </a:p>
      </xdr:txBody>
    </xdr:sp>
    <xdr:clientData/>
  </xdr:twoCellAnchor>
  <xdr:twoCellAnchor>
    <xdr:from>
      <xdr:col>10</xdr:col>
      <xdr:colOff>391594</xdr:colOff>
      <xdr:row>25</xdr:row>
      <xdr:rowOff>108303</xdr:rowOff>
    </xdr:from>
    <xdr:to>
      <xdr:col>12</xdr:col>
      <xdr:colOff>247807</xdr:colOff>
      <xdr:row>29</xdr:row>
      <xdr:rowOff>13688</xdr:rowOff>
    </xdr:to>
    <xdr:sp macro="" textlink="">
      <xdr:nvSpPr>
        <xdr:cNvPr id="16" name="Rounded Rectangle 5">
          <a:extLst>
            <a:ext uri="{FF2B5EF4-FFF2-40B4-BE49-F238E27FC236}">
              <a16:creationId xmlns:a16="http://schemas.microsoft.com/office/drawing/2014/main" id="{7CE9C3C7-97ED-47E1-8CD2-C11BC6225BCD}"/>
            </a:ext>
          </a:extLst>
        </xdr:cNvPr>
        <xdr:cNvSpPr/>
      </xdr:nvSpPr>
      <xdr:spPr>
        <a:xfrm>
          <a:off x="7154344" y="4746978"/>
          <a:ext cx="1561188" cy="629285"/>
        </a:xfrm>
        <a:prstGeom prst="roundRect">
          <a:avLst/>
        </a:prstGeom>
        <a:solidFill>
          <a:schemeClr val="tx2">
            <a:lumMod val="60000"/>
            <a:lumOff val="40000"/>
          </a:schemeClr>
        </a:solidFill>
      </xdr:spPr>
      <xdr:style>
        <a:lnRef idx="2">
          <a:schemeClr val="dk1"/>
        </a:lnRef>
        <a:fillRef idx="1">
          <a:schemeClr val="lt1"/>
        </a:fillRef>
        <a:effectRef idx="0">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Ex 12: </a:t>
          </a:r>
        </a:p>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Rank-dependent </a:t>
          </a:r>
          <a:b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br>
          <a:r>
            <a:rPr kumimoji="0" lang="en-GB" sz="1200" b="1" i="0" u="none" strike="noStrike" kern="1200" cap="none" spc="0" normalizeH="0" baseline="0">
              <a:ln>
                <a:noFill/>
              </a:ln>
              <a:solidFill>
                <a:prstClr val="white"/>
              </a:solidFill>
              <a:effectLst/>
              <a:uLnTx/>
              <a:uFillTx/>
              <a:latin typeface="Arial" panose="020B0604020202020204" pitchFamily="34" charset="0"/>
              <a:ea typeface="+mn-ea"/>
              <a:cs typeface="Arial" panose="020B0604020202020204" pitchFamily="34" charset="0"/>
            </a:rPr>
            <a:t>equity weights</a:t>
          </a:r>
        </a:p>
      </xdr:txBody>
    </xdr:sp>
    <xdr:clientData/>
  </xdr:twoCellAnchor>
  <xdr:oneCellAnchor>
    <xdr:from>
      <xdr:col>0</xdr:col>
      <xdr:colOff>180975</xdr:colOff>
      <xdr:row>1</xdr:row>
      <xdr:rowOff>76200</xdr:rowOff>
    </xdr:from>
    <xdr:ext cx="3743325" cy="3257550"/>
    <xdr:sp macro="" textlink="">
      <xdr:nvSpPr>
        <xdr:cNvPr id="18" name="TextBox 17">
          <a:extLst>
            <a:ext uri="{FF2B5EF4-FFF2-40B4-BE49-F238E27FC236}">
              <a16:creationId xmlns:a16="http://schemas.microsoft.com/office/drawing/2014/main" id="{ECDCEFBE-29ED-46E8-B2E8-178BE982E198}"/>
            </a:ext>
          </a:extLst>
        </xdr:cNvPr>
        <xdr:cNvSpPr txBox="1"/>
      </xdr:nvSpPr>
      <xdr:spPr>
        <a:xfrm>
          <a:off x="180975" y="371475"/>
          <a:ext cx="3743325" cy="32575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b="1" baseline="0"/>
            <a:t>Instructions for this exercise are available at: </a:t>
          </a:r>
          <a:r>
            <a:rPr lang="en-GB" sz="1100" b="1" u="sng">
              <a:solidFill>
                <a:schemeClr val="tx1"/>
              </a:solidFill>
              <a:effectLst/>
              <a:latin typeface="+mn-lt"/>
              <a:ea typeface="+mn-ea"/>
              <a:cs typeface="+mn-cs"/>
              <a:hlinkClick xmlns:r="http://schemas.openxmlformats.org/officeDocument/2006/relationships" r:id=""/>
            </a:rPr>
            <a:t>https://www.york.ac.uk/che/research/equity/handbook</a:t>
          </a:r>
          <a:endParaRPr lang="en-GB" sz="1100">
            <a:solidFill>
              <a:schemeClr val="tx1"/>
            </a:solidFill>
            <a:effectLst/>
            <a:latin typeface="+mn-lt"/>
            <a:ea typeface="+mn-ea"/>
            <a:cs typeface="+mn-cs"/>
          </a:endParaRPr>
        </a:p>
        <a:p>
          <a:endParaRPr lang="en-GB" sz="1400" b="1" baseline="0"/>
        </a:p>
        <a:p>
          <a:r>
            <a:rPr lang="en-GB" sz="1400" b="1" baseline="0"/>
            <a:t>This training exercise accompanies Chapter 9 of the Oxford University Press Handbook of Distributional Cost-Effectiveness Analysis.</a:t>
          </a:r>
        </a:p>
        <a:p>
          <a:endParaRPr lang="en-GB" sz="1400" b="1" baseline="0"/>
        </a:p>
        <a:p>
          <a:r>
            <a:rPr lang="en-GB" sz="1400" b="1"/>
            <a:t>This exercise contains 8 worksheets after this title sheet, starting</a:t>
          </a:r>
          <a:r>
            <a:rPr lang="en-GB" sz="1400" b="1" baseline="0"/>
            <a:t> with "HOC Calcs" and ending with </a:t>
          </a:r>
          <a:r>
            <a:rPr lang="en-GB" sz="1400" b="1"/>
            <a:t>"Equity</a:t>
          </a:r>
          <a:r>
            <a:rPr lang="en-GB" sz="1400" b="1" baseline="0"/>
            <a:t> Impact</a:t>
          </a:r>
          <a:r>
            <a:rPr lang="en-GB" sz="1400" b="1"/>
            <a:t>".</a:t>
          </a:r>
        </a:p>
        <a:p>
          <a:endParaRPr lang="en-GB" sz="1400" b="1"/>
        </a:p>
        <a:p>
          <a:r>
            <a:rPr lang="en-GB" sz="1400" b="1"/>
            <a:t>Your task is to complete</a:t>
          </a:r>
          <a:r>
            <a:rPr lang="en-GB" sz="1400" b="1" baseline="0"/>
            <a:t> the exercise cells highlighted in yellow (starting in the sheet "Net Calcs").</a:t>
          </a:r>
        </a:p>
        <a:p>
          <a:endParaRPr lang="en-GB" sz="1400" b="1"/>
        </a:p>
      </xdr:txBody>
    </xdr:sp>
    <xdr:clientData/>
  </xdr:oneCellAnchor>
  <xdr:oneCellAnchor>
    <xdr:from>
      <xdr:col>0</xdr:col>
      <xdr:colOff>161925</xdr:colOff>
      <xdr:row>28</xdr:row>
      <xdr:rowOff>142875</xdr:rowOff>
    </xdr:from>
    <xdr:ext cx="3895725" cy="742950"/>
    <xdr:sp macro="" textlink="">
      <xdr:nvSpPr>
        <xdr:cNvPr id="19" name="TextBox 18">
          <a:extLst>
            <a:ext uri="{FF2B5EF4-FFF2-40B4-BE49-F238E27FC236}">
              <a16:creationId xmlns:a16="http://schemas.microsoft.com/office/drawing/2014/main" id="{26940223-16EE-4189-97D7-83B5DAB00A78}"/>
            </a:ext>
          </a:extLst>
        </xdr:cNvPr>
        <xdr:cNvSpPr txBox="1"/>
      </xdr:nvSpPr>
      <xdr:spPr>
        <a:xfrm>
          <a:off x="161925" y="5372100"/>
          <a:ext cx="3895725" cy="7429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400" b="1" baseline="0"/>
            <a:t>This exercise was produced by James Love-Koh and edited by Richard Cookson, with help from James Lomas, Jessica Ochalek and Ole Norheim.</a:t>
          </a:r>
        </a:p>
        <a:p>
          <a:endParaRPr lang="en-GB" sz="1400" b="1"/>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485774</xdr:colOff>
      <xdr:row>22</xdr:row>
      <xdr:rowOff>180974</xdr:rowOff>
    </xdr:to>
    <xdr:graphicFrame macro="">
      <xdr:nvGraphicFramePr>
        <xdr:cNvPr id="2" name="Chart 1">
          <a:extLst>
            <a:ext uri="{FF2B5EF4-FFF2-40B4-BE49-F238E27FC236}">
              <a16:creationId xmlns:a16="http://schemas.microsoft.com/office/drawing/2014/main" id="{03AC8ED2-E6A9-49A3-8247-5A8A152EB6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0</xdr:rowOff>
    </xdr:from>
    <xdr:to>
      <xdr:col>9</xdr:col>
      <xdr:colOff>485774</xdr:colOff>
      <xdr:row>43</xdr:row>
      <xdr:rowOff>180974</xdr:rowOff>
    </xdr:to>
    <xdr:graphicFrame macro="">
      <xdr:nvGraphicFramePr>
        <xdr:cNvPr id="3" name="Chart 2">
          <a:extLst>
            <a:ext uri="{FF2B5EF4-FFF2-40B4-BE49-F238E27FC236}">
              <a16:creationId xmlns:a16="http://schemas.microsoft.com/office/drawing/2014/main" id="{CD53BE3F-1382-4043-9828-4741D645FB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44</xdr:row>
      <xdr:rowOff>0</xdr:rowOff>
    </xdr:from>
    <xdr:to>
      <xdr:col>9</xdr:col>
      <xdr:colOff>485774</xdr:colOff>
      <xdr:row>64</xdr:row>
      <xdr:rowOff>180974</xdr:rowOff>
    </xdr:to>
    <xdr:graphicFrame macro="">
      <xdr:nvGraphicFramePr>
        <xdr:cNvPr id="4" name="Chart 3">
          <a:extLst>
            <a:ext uri="{FF2B5EF4-FFF2-40B4-BE49-F238E27FC236}">
              <a16:creationId xmlns:a16="http://schemas.microsoft.com/office/drawing/2014/main" id="{7B5FAEB0-D7BD-4829-BEC1-E47BD4FF72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9306393" cy="6027295"/>
    <xdr:graphicFrame macro="">
      <xdr:nvGraphicFramePr>
        <xdr:cNvPr id="2" name="Chart 1">
          <a:extLst>
            <a:ext uri="{FF2B5EF4-FFF2-40B4-BE49-F238E27FC236}">
              <a16:creationId xmlns:a16="http://schemas.microsoft.com/office/drawing/2014/main" id="{983955C2-4BAE-4935-8C1D-5DA4EA917CE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xdr:from>
      <xdr:col>0</xdr:col>
      <xdr:colOff>179292</xdr:colOff>
      <xdr:row>5</xdr:row>
      <xdr:rowOff>70968</xdr:rowOff>
    </xdr:from>
    <xdr:to>
      <xdr:col>4</xdr:col>
      <xdr:colOff>1135528</xdr:colOff>
      <xdr:row>22</xdr:row>
      <xdr:rowOff>148291</xdr:rowOff>
    </xdr:to>
    <xdr:graphicFrame macro="">
      <xdr:nvGraphicFramePr>
        <xdr:cNvPr id="2" name="Chart 1">
          <a:extLst>
            <a:ext uri="{FF2B5EF4-FFF2-40B4-BE49-F238E27FC236}">
              <a16:creationId xmlns:a16="http://schemas.microsoft.com/office/drawing/2014/main" id="{D148E83F-22DF-488D-949A-0DFF8636F7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1135529</xdr:colOff>
      <xdr:row>5</xdr:row>
      <xdr:rowOff>89643</xdr:rowOff>
    </xdr:from>
    <xdr:to>
      <xdr:col>10</xdr:col>
      <xdr:colOff>836884</xdr:colOff>
      <xdr:row>22</xdr:row>
      <xdr:rowOff>166966</xdr:rowOff>
    </xdr:to>
    <xdr:graphicFrame macro="">
      <xdr:nvGraphicFramePr>
        <xdr:cNvPr id="3" name="Chart 2">
          <a:extLst>
            <a:ext uri="{FF2B5EF4-FFF2-40B4-BE49-F238E27FC236}">
              <a16:creationId xmlns:a16="http://schemas.microsoft.com/office/drawing/2014/main" id="{04C73B62-CCD2-478A-8D92-E43057E09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tabSelected="1" workbookViewId="0"/>
  </sheetViews>
  <sheetFormatPr defaultColWidth="8.875" defaultRowHeight="14.25" x14ac:dyDescent="0.2"/>
  <cols>
    <col min="3" max="3" width="13.5" bestFit="1" customWidth="1"/>
    <col min="11" max="11" width="13.5" bestFit="1" customWidth="1"/>
    <col min="16" max="16" width="12.125" bestFit="1" customWidth="1"/>
  </cols>
  <sheetData>
    <row r="1" spans="1:12" ht="23.25" x14ac:dyDescent="0.35">
      <c r="A1" s="10" t="s">
        <v>92</v>
      </c>
      <c r="L1" s="9" t="s">
        <v>128</v>
      </c>
    </row>
    <row r="22" spans="2:4" ht="15" x14ac:dyDescent="0.25">
      <c r="B22" s="2"/>
      <c r="C22" s="8" t="s">
        <v>91</v>
      </c>
      <c r="D22" s="3"/>
    </row>
    <row r="23" spans="2:4" x14ac:dyDescent="0.2">
      <c r="B23" s="1"/>
      <c r="D23" s="4"/>
    </row>
    <row r="24" spans="2:4" ht="15" x14ac:dyDescent="0.25">
      <c r="B24" s="1"/>
      <c r="C24" s="12" t="s">
        <v>26</v>
      </c>
      <c r="D24" s="4"/>
    </row>
    <row r="25" spans="2:4" ht="15" x14ac:dyDescent="0.25">
      <c r="B25" s="1"/>
      <c r="C25" s="13" t="s">
        <v>25</v>
      </c>
      <c r="D25" s="4"/>
    </row>
    <row r="26" spans="2:4" ht="15" x14ac:dyDescent="0.25">
      <c r="B26" s="1"/>
      <c r="C26" s="11" t="s">
        <v>24</v>
      </c>
      <c r="D26" s="4"/>
    </row>
    <row r="27" spans="2:4" ht="15" x14ac:dyDescent="0.25">
      <c r="B27" s="1"/>
      <c r="C27" s="14" t="s">
        <v>90</v>
      </c>
      <c r="D27" s="4"/>
    </row>
    <row r="28" spans="2:4" x14ac:dyDescent="0.2">
      <c r="B28" s="5"/>
      <c r="C28" s="6"/>
      <c r="D28" s="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54"/>
  <sheetViews>
    <sheetView zoomScale="90" zoomScaleNormal="90" workbookViewId="0"/>
  </sheetViews>
  <sheetFormatPr defaultColWidth="11" defaultRowHeight="15.75" x14ac:dyDescent="0.25"/>
  <cols>
    <col min="1" max="1" width="16.5" style="16" customWidth="1"/>
    <col min="2" max="2" width="10.875" style="16" customWidth="1"/>
    <col min="3" max="3" width="10.375" style="16" customWidth="1"/>
    <col min="4" max="4" width="11.875" style="16" customWidth="1"/>
    <col min="5" max="5" width="11.125" style="16" customWidth="1"/>
    <col min="6" max="6" width="10.625" style="16" customWidth="1"/>
    <col min="7" max="7" width="11.125" style="16" customWidth="1"/>
    <col min="8" max="8" width="10.875" style="16" customWidth="1"/>
    <col min="9" max="9" width="10.5" style="16" customWidth="1"/>
    <col min="10" max="10" width="12" style="16" customWidth="1"/>
    <col min="11" max="11" width="11.75" style="16" customWidth="1"/>
    <col min="12" max="12" width="11.125" style="16" customWidth="1"/>
    <col min="13" max="13" width="11.625" style="16" customWidth="1"/>
    <col min="14" max="14" width="13.5" style="16" customWidth="1"/>
    <col min="15" max="15" width="11.75" style="16" customWidth="1"/>
    <col min="16" max="16" width="14.125" style="16" customWidth="1"/>
    <col min="17" max="17" width="12.625" style="16" customWidth="1"/>
    <col min="18" max="18" width="11.75" style="16" customWidth="1"/>
    <col min="19" max="19" width="11.875" style="16" customWidth="1"/>
    <col min="20" max="20" width="10" style="16" customWidth="1"/>
    <col min="21" max="21" width="11.625" style="16" customWidth="1"/>
    <col min="22" max="22" width="11.875" style="16" customWidth="1"/>
    <col min="23" max="16384" width="11" style="16"/>
  </cols>
  <sheetData>
    <row r="1" spans="1:22" ht="20.25" x14ac:dyDescent="0.3">
      <c r="A1" s="118" t="s">
        <v>93</v>
      </c>
    </row>
    <row r="2" spans="1:22" ht="20.25" x14ac:dyDescent="0.3">
      <c r="A2" s="118"/>
    </row>
    <row r="3" spans="1:22" ht="41.25" customHeight="1" x14ac:dyDescent="0.25">
      <c r="A3" s="159" t="s">
        <v>98</v>
      </c>
      <c r="B3" s="159"/>
      <c r="C3" s="159"/>
      <c r="D3" s="159"/>
      <c r="E3" s="159"/>
      <c r="F3" s="159"/>
      <c r="G3" s="159"/>
      <c r="H3" s="159"/>
      <c r="I3" s="159"/>
      <c r="J3" s="159"/>
    </row>
    <row r="5" spans="1:22" x14ac:dyDescent="0.25">
      <c r="A5" s="15" t="s">
        <v>94</v>
      </c>
    </row>
    <row r="6" spans="1:22" ht="18" customHeight="1" x14ac:dyDescent="0.25">
      <c r="A6" s="161" t="s">
        <v>99</v>
      </c>
      <c r="B6" s="160" t="s">
        <v>29</v>
      </c>
      <c r="C6" s="160" t="s">
        <v>30</v>
      </c>
      <c r="D6" s="160" t="s">
        <v>31</v>
      </c>
      <c r="E6" s="160" t="s">
        <v>32</v>
      </c>
      <c r="F6" s="160" t="s">
        <v>33</v>
      </c>
      <c r="G6" s="160" t="s">
        <v>34</v>
      </c>
      <c r="H6" s="160" t="s">
        <v>35</v>
      </c>
      <c r="I6" s="160" t="s">
        <v>36</v>
      </c>
      <c r="J6" s="160" t="s">
        <v>37</v>
      </c>
      <c r="K6" s="160" t="s">
        <v>38</v>
      </c>
      <c r="L6" s="160" t="s">
        <v>39</v>
      </c>
      <c r="M6" s="160" t="s">
        <v>40</v>
      </c>
      <c r="N6" s="160" t="s">
        <v>41</v>
      </c>
      <c r="O6" s="160" t="s">
        <v>42</v>
      </c>
      <c r="P6" s="160" t="s">
        <v>43</v>
      </c>
      <c r="Q6" s="160" t="s">
        <v>44</v>
      </c>
      <c r="R6" s="160" t="s">
        <v>45</v>
      </c>
      <c r="S6" s="160" t="s">
        <v>46</v>
      </c>
      <c r="T6" s="160" t="s">
        <v>47</v>
      </c>
      <c r="U6" s="160" t="s">
        <v>48</v>
      </c>
      <c r="V6" s="162" t="s">
        <v>49</v>
      </c>
    </row>
    <row r="7" spans="1:22" ht="18" customHeight="1" x14ac:dyDescent="0.25">
      <c r="A7" s="161"/>
      <c r="B7" s="160"/>
      <c r="C7" s="160"/>
      <c r="D7" s="160"/>
      <c r="E7" s="160"/>
      <c r="F7" s="160"/>
      <c r="G7" s="160"/>
      <c r="H7" s="160"/>
      <c r="I7" s="160"/>
      <c r="J7" s="160"/>
      <c r="K7" s="160"/>
      <c r="L7" s="160"/>
      <c r="M7" s="160"/>
      <c r="N7" s="160"/>
      <c r="O7" s="160"/>
      <c r="P7" s="160"/>
      <c r="Q7" s="160"/>
      <c r="R7" s="160"/>
      <c r="S7" s="160"/>
      <c r="T7" s="160"/>
      <c r="U7" s="160"/>
      <c r="V7" s="162"/>
    </row>
    <row r="8" spans="1:22" x14ac:dyDescent="0.25">
      <c r="A8" s="161"/>
      <c r="B8" s="17">
        <v>1</v>
      </c>
      <c r="C8" s="17">
        <v>2</v>
      </c>
      <c r="D8" s="17">
        <v>3</v>
      </c>
      <c r="E8" s="17">
        <v>4</v>
      </c>
      <c r="F8" s="17">
        <v>5</v>
      </c>
      <c r="G8" s="17">
        <v>6</v>
      </c>
      <c r="H8" s="17">
        <v>7</v>
      </c>
      <c r="I8" s="17">
        <v>8</v>
      </c>
      <c r="J8" s="17">
        <v>9</v>
      </c>
      <c r="K8" s="17">
        <v>10</v>
      </c>
      <c r="L8" s="17">
        <v>11</v>
      </c>
      <c r="M8" s="17">
        <v>12</v>
      </c>
      <c r="N8" s="17">
        <v>13</v>
      </c>
      <c r="O8" s="17">
        <v>14</v>
      </c>
      <c r="P8" s="17">
        <v>15</v>
      </c>
      <c r="Q8" s="17">
        <v>16</v>
      </c>
      <c r="R8" s="17">
        <v>17</v>
      </c>
      <c r="S8" s="17">
        <v>18</v>
      </c>
      <c r="T8" s="17">
        <v>19</v>
      </c>
      <c r="U8" s="17">
        <v>20</v>
      </c>
      <c r="V8" s="18">
        <v>21</v>
      </c>
    </row>
    <row r="9" spans="1:22" x14ac:dyDescent="0.25">
      <c r="A9" s="19" t="s">
        <v>50</v>
      </c>
      <c r="B9" s="20">
        <v>2.0275333999999999E-2</v>
      </c>
      <c r="C9" s="20">
        <v>3.4046424399999997E-2</v>
      </c>
      <c r="D9" s="20">
        <v>2.8239463999999999E-2</v>
      </c>
      <c r="E9" s="20">
        <v>7.8340211000000007E-2</v>
      </c>
      <c r="F9" s="20">
        <v>0.123202741</v>
      </c>
      <c r="G9" s="20">
        <v>8.9501399999999997E-4</v>
      </c>
      <c r="H9" s="20">
        <v>0.14105948760000001</v>
      </c>
      <c r="I9" s="20">
        <v>5.488199E-3</v>
      </c>
      <c r="J9" s="20">
        <v>1.8117316000000001E-2</v>
      </c>
      <c r="K9" s="20">
        <v>0.1394468076</v>
      </c>
      <c r="L9" s="20">
        <v>0.2966060989</v>
      </c>
      <c r="M9" s="20">
        <v>8.7913469999999997E-3</v>
      </c>
      <c r="N9" s="20">
        <v>5.6762169100000003E-2</v>
      </c>
      <c r="O9" s="20">
        <v>2.5181000000000001E-3</v>
      </c>
      <c r="P9" s="20">
        <v>3.00136503E-2</v>
      </c>
      <c r="Q9" s="20">
        <v>0</v>
      </c>
      <c r="R9" s="20">
        <v>1.36841649E-2</v>
      </c>
      <c r="S9" s="20">
        <v>1.9613209999999999E-4</v>
      </c>
      <c r="T9" s="20">
        <v>3.9846229999999997E-4</v>
      </c>
      <c r="U9" s="20">
        <v>1.0561990000000001E-3</v>
      </c>
      <c r="V9" s="21">
        <v>8.6782799999999996E-4</v>
      </c>
    </row>
    <row r="11" spans="1:22" x14ac:dyDescent="0.25">
      <c r="A11" s="15" t="s">
        <v>95</v>
      </c>
    </row>
    <row r="12" spans="1:22" x14ac:dyDescent="0.25">
      <c r="A12" s="158" t="s">
        <v>99</v>
      </c>
      <c r="B12" s="160" t="s">
        <v>29</v>
      </c>
      <c r="C12" s="160" t="s">
        <v>30</v>
      </c>
      <c r="D12" s="160" t="s">
        <v>31</v>
      </c>
      <c r="E12" s="160" t="s">
        <v>32</v>
      </c>
      <c r="F12" s="160" t="s">
        <v>33</v>
      </c>
      <c r="G12" s="160" t="s">
        <v>34</v>
      </c>
      <c r="H12" s="160" t="s">
        <v>35</v>
      </c>
      <c r="I12" s="160" t="s">
        <v>36</v>
      </c>
      <c r="J12" s="160" t="s">
        <v>37</v>
      </c>
      <c r="K12" s="160" t="s">
        <v>38</v>
      </c>
      <c r="L12" s="160" t="s">
        <v>39</v>
      </c>
      <c r="M12" s="160" t="s">
        <v>40</v>
      </c>
      <c r="N12" s="160" t="s">
        <v>41</v>
      </c>
      <c r="O12" s="160" t="s">
        <v>42</v>
      </c>
      <c r="P12" s="160" t="s">
        <v>43</v>
      </c>
      <c r="Q12" s="160" t="s">
        <v>44</v>
      </c>
      <c r="R12" s="160" t="s">
        <v>45</v>
      </c>
      <c r="S12" s="160" t="s">
        <v>46</v>
      </c>
      <c r="T12" s="160" t="s">
        <v>47</v>
      </c>
      <c r="U12" s="160" t="s">
        <v>48</v>
      </c>
      <c r="V12" s="162" t="s">
        <v>49</v>
      </c>
    </row>
    <row r="13" spans="1:22" ht="22.5" customHeight="1" x14ac:dyDescent="0.25">
      <c r="A13" s="158"/>
      <c r="B13" s="160"/>
      <c r="C13" s="160"/>
      <c r="D13" s="160"/>
      <c r="E13" s="160"/>
      <c r="F13" s="160"/>
      <c r="G13" s="160"/>
      <c r="H13" s="160"/>
      <c r="I13" s="160"/>
      <c r="J13" s="160"/>
      <c r="K13" s="160"/>
      <c r="L13" s="160"/>
      <c r="M13" s="160"/>
      <c r="N13" s="160"/>
      <c r="O13" s="160"/>
      <c r="P13" s="160"/>
      <c r="Q13" s="160"/>
      <c r="R13" s="160"/>
      <c r="S13" s="160"/>
      <c r="T13" s="160"/>
      <c r="U13" s="160"/>
      <c r="V13" s="162"/>
    </row>
    <row r="14" spans="1:22" ht="15.75" customHeight="1" x14ac:dyDescent="0.25">
      <c r="A14" s="158"/>
      <c r="B14" s="17">
        <v>1</v>
      </c>
      <c r="C14" s="17">
        <v>2</v>
      </c>
      <c r="D14" s="17">
        <v>3</v>
      </c>
      <c r="E14" s="17">
        <v>4</v>
      </c>
      <c r="F14" s="17">
        <v>5</v>
      </c>
      <c r="G14" s="17">
        <v>6</v>
      </c>
      <c r="H14" s="17">
        <v>7</v>
      </c>
      <c r="I14" s="17">
        <v>8</v>
      </c>
      <c r="J14" s="17">
        <v>9</v>
      </c>
      <c r="K14" s="17">
        <v>10</v>
      </c>
      <c r="L14" s="17">
        <v>11</v>
      </c>
      <c r="M14" s="17">
        <v>12</v>
      </c>
      <c r="N14" s="17">
        <v>13</v>
      </c>
      <c r="O14" s="17">
        <v>14</v>
      </c>
      <c r="P14" s="17">
        <v>15</v>
      </c>
      <c r="Q14" s="17">
        <v>16</v>
      </c>
      <c r="R14" s="17">
        <v>17</v>
      </c>
      <c r="S14" s="17">
        <v>18</v>
      </c>
      <c r="T14" s="17">
        <v>19</v>
      </c>
      <c r="U14" s="17">
        <v>20</v>
      </c>
      <c r="V14" s="17">
        <v>21</v>
      </c>
    </row>
    <row r="15" spans="1:22" x14ac:dyDescent="0.25">
      <c r="A15" s="17" t="s">
        <v>7</v>
      </c>
      <c r="B15" s="22">
        <v>25789</v>
      </c>
      <c r="C15" s="22">
        <v>281456</v>
      </c>
      <c r="D15" s="22">
        <v>101658</v>
      </c>
      <c r="E15" s="22">
        <v>344346</v>
      </c>
      <c r="F15" s="22">
        <v>416657</v>
      </c>
      <c r="G15" s="22">
        <v>19414</v>
      </c>
      <c r="H15" s="22">
        <v>137304</v>
      </c>
      <c r="I15" s="22">
        <v>91270</v>
      </c>
      <c r="J15" s="22">
        <v>26568</v>
      </c>
      <c r="K15" s="22">
        <v>924942</v>
      </c>
      <c r="L15" s="22">
        <v>428219</v>
      </c>
      <c r="M15" s="22">
        <v>28008</v>
      </c>
      <c r="N15" s="22">
        <v>453810</v>
      </c>
      <c r="O15" s="22">
        <v>101414</v>
      </c>
      <c r="P15" s="22">
        <v>314943</v>
      </c>
      <c r="Q15" s="23">
        <v>10</v>
      </c>
      <c r="R15" s="22">
        <v>382723</v>
      </c>
      <c r="S15" s="22">
        <v>188428</v>
      </c>
      <c r="T15" s="22">
        <v>80078</v>
      </c>
      <c r="U15" s="22">
        <v>7744</v>
      </c>
      <c r="V15" s="22">
        <v>119838</v>
      </c>
    </row>
    <row r="16" spans="1:22" x14ac:dyDescent="0.25">
      <c r="A16" s="17" t="s">
        <v>8</v>
      </c>
      <c r="B16" s="22">
        <v>36585</v>
      </c>
      <c r="C16" s="22">
        <v>428096</v>
      </c>
      <c r="D16" s="22">
        <v>145146</v>
      </c>
      <c r="E16" s="22">
        <v>494116</v>
      </c>
      <c r="F16" s="22">
        <v>520182</v>
      </c>
      <c r="G16" s="22">
        <v>24630</v>
      </c>
      <c r="H16" s="22">
        <v>190844</v>
      </c>
      <c r="I16" s="22">
        <v>137178</v>
      </c>
      <c r="J16" s="22">
        <v>38487</v>
      </c>
      <c r="K16" s="22">
        <v>1343490</v>
      </c>
      <c r="L16" s="22">
        <v>584557</v>
      </c>
      <c r="M16" s="22">
        <v>41275</v>
      </c>
      <c r="N16" s="22">
        <v>645615</v>
      </c>
      <c r="O16" s="22">
        <v>141919</v>
      </c>
      <c r="P16" s="22">
        <v>460243</v>
      </c>
      <c r="Q16" s="23">
        <v>10</v>
      </c>
      <c r="R16" s="22">
        <v>557264</v>
      </c>
      <c r="S16" s="22">
        <v>263944</v>
      </c>
      <c r="T16" s="22">
        <v>71948</v>
      </c>
      <c r="U16" s="22">
        <v>10431</v>
      </c>
      <c r="V16" s="22">
        <v>174501</v>
      </c>
    </row>
    <row r="17" spans="1:22" x14ac:dyDescent="0.25">
      <c r="A17" s="17" t="s">
        <v>9</v>
      </c>
      <c r="B17" s="22">
        <v>38408</v>
      </c>
      <c r="C17" s="22">
        <v>461693</v>
      </c>
      <c r="D17" s="22">
        <v>155848</v>
      </c>
      <c r="E17" s="22">
        <v>514168</v>
      </c>
      <c r="F17" s="22">
        <v>535755</v>
      </c>
      <c r="G17" s="22">
        <v>25330</v>
      </c>
      <c r="H17" s="22">
        <v>197973</v>
      </c>
      <c r="I17" s="22">
        <v>145153</v>
      </c>
      <c r="J17" s="22">
        <v>40437</v>
      </c>
      <c r="K17" s="22">
        <v>1414387</v>
      </c>
      <c r="L17" s="22">
        <v>610987</v>
      </c>
      <c r="M17" s="22">
        <v>42558</v>
      </c>
      <c r="N17" s="22">
        <v>683242</v>
      </c>
      <c r="O17" s="22">
        <v>147037</v>
      </c>
      <c r="P17" s="22">
        <v>484033</v>
      </c>
      <c r="Q17" s="23">
        <v>10</v>
      </c>
      <c r="R17" s="22">
        <v>584712</v>
      </c>
      <c r="S17" s="22">
        <v>269625</v>
      </c>
      <c r="T17" s="22">
        <v>72769</v>
      </c>
      <c r="U17" s="22">
        <v>11271</v>
      </c>
      <c r="V17" s="22">
        <v>178235</v>
      </c>
    </row>
    <row r="18" spans="1:22" x14ac:dyDescent="0.25">
      <c r="A18" s="17" t="s">
        <v>10</v>
      </c>
      <c r="B18" s="22">
        <v>31634</v>
      </c>
      <c r="C18" s="22">
        <v>497498</v>
      </c>
      <c r="D18" s="22">
        <v>124292</v>
      </c>
      <c r="E18" s="22">
        <v>419726</v>
      </c>
      <c r="F18" s="22">
        <v>343398</v>
      </c>
      <c r="G18" s="22">
        <v>16373</v>
      </c>
      <c r="H18" s="22">
        <v>166887</v>
      </c>
      <c r="I18" s="22">
        <v>145247</v>
      </c>
      <c r="J18" s="22">
        <v>36237</v>
      </c>
      <c r="K18" s="22">
        <v>1307159</v>
      </c>
      <c r="L18" s="22">
        <v>478003</v>
      </c>
      <c r="M18" s="22">
        <v>28784</v>
      </c>
      <c r="N18" s="22">
        <v>597767</v>
      </c>
      <c r="O18" s="22">
        <v>121554</v>
      </c>
      <c r="P18" s="22">
        <v>446194</v>
      </c>
      <c r="Q18" s="23">
        <v>10</v>
      </c>
      <c r="R18" s="22">
        <v>489299</v>
      </c>
      <c r="S18" s="22">
        <v>176093</v>
      </c>
      <c r="T18" s="22">
        <v>49967</v>
      </c>
      <c r="U18" s="22">
        <v>8623</v>
      </c>
      <c r="V18" s="22">
        <v>137749</v>
      </c>
    </row>
    <row r="19" spans="1:22" x14ac:dyDescent="0.25">
      <c r="A19" s="17" t="s">
        <v>11</v>
      </c>
      <c r="B19" s="22">
        <v>31166</v>
      </c>
      <c r="C19" s="22">
        <v>511458</v>
      </c>
      <c r="D19" s="22">
        <v>117766</v>
      </c>
      <c r="E19" s="22">
        <v>380238</v>
      </c>
      <c r="F19" s="22">
        <v>284732</v>
      </c>
      <c r="G19" s="22">
        <v>13353</v>
      </c>
      <c r="H19" s="22">
        <v>159841</v>
      </c>
      <c r="I19" s="22">
        <v>142652</v>
      </c>
      <c r="J19" s="22">
        <v>35362</v>
      </c>
      <c r="K19" s="22">
        <v>1233767</v>
      </c>
      <c r="L19" s="22">
        <v>433028</v>
      </c>
      <c r="M19" s="22">
        <v>26657</v>
      </c>
      <c r="N19" s="22">
        <v>582068</v>
      </c>
      <c r="O19" s="22">
        <v>113571</v>
      </c>
      <c r="P19" s="22">
        <v>434287</v>
      </c>
      <c r="Q19" s="23">
        <v>10</v>
      </c>
      <c r="R19" s="22">
        <v>451436</v>
      </c>
      <c r="S19" s="22">
        <v>170182</v>
      </c>
      <c r="T19" s="22">
        <v>48317</v>
      </c>
      <c r="U19" s="22">
        <v>8505</v>
      </c>
      <c r="V19" s="22">
        <v>127983</v>
      </c>
    </row>
    <row r="20" spans="1:22" x14ac:dyDescent="0.25">
      <c r="A20" s="17" t="s">
        <v>12</v>
      </c>
      <c r="B20" s="22">
        <v>47417</v>
      </c>
      <c r="C20" s="22">
        <v>517509</v>
      </c>
      <c r="D20" s="22">
        <v>186916</v>
      </c>
      <c r="E20" s="22">
        <v>633143</v>
      </c>
      <c r="F20" s="22">
        <v>766101</v>
      </c>
      <c r="G20" s="22">
        <v>35696</v>
      </c>
      <c r="H20" s="22">
        <v>252459</v>
      </c>
      <c r="I20" s="22">
        <v>167817</v>
      </c>
      <c r="J20" s="22">
        <v>48851</v>
      </c>
      <c r="K20" s="22">
        <v>1700674</v>
      </c>
      <c r="L20" s="22">
        <v>787358</v>
      </c>
      <c r="M20" s="22">
        <v>51497</v>
      </c>
      <c r="N20" s="22">
        <v>834413</v>
      </c>
      <c r="O20" s="22">
        <v>186468</v>
      </c>
      <c r="P20" s="22">
        <v>579081</v>
      </c>
      <c r="Q20" s="23">
        <v>10</v>
      </c>
      <c r="R20" s="22">
        <v>703706</v>
      </c>
      <c r="S20" s="22">
        <v>346460</v>
      </c>
      <c r="T20" s="22">
        <v>147237</v>
      </c>
      <c r="U20" s="22">
        <v>14240</v>
      </c>
      <c r="V20" s="22">
        <v>220344</v>
      </c>
    </row>
    <row r="21" spans="1:22" x14ac:dyDescent="0.25">
      <c r="A21" s="17" t="s">
        <v>13</v>
      </c>
      <c r="B21" s="22">
        <v>29188</v>
      </c>
      <c r="C21" s="22">
        <v>341540</v>
      </c>
      <c r="D21" s="22">
        <v>115800</v>
      </c>
      <c r="E21" s="22">
        <v>394211</v>
      </c>
      <c r="F21" s="22">
        <v>415008</v>
      </c>
      <c r="G21" s="22">
        <v>19650</v>
      </c>
      <c r="H21" s="22">
        <v>152257</v>
      </c>
      <c r="I21" s="22">
        <v>109443</v>
      </c>
      <c r="J21" s="22">
        <v>30706</v>
      </c>
      <c r="K21" s="22">
        <v>1071851</v>
      </c>
      <c r="L21" s="22">
        <v>466366</v>
      </c>
      <c r="M21" s="22">
        <v>32930</v>
      </c>
      <c r="N21" s="22">
        <v>515079</v>
      </c>
      <c r="O21" s="22">
        <v>113225</v>
      </c>
      <c r="P21" s="22">
        <v>367187</v>
      </c>
      <c r="Q21" s="23">
        <v>10</v>
      </c>
      <c r="R21" s="22">
        <v>444592</v>
      </c>
      <c r="S21" s="22">
        <v>210578</v>
      </c>
      <c r="T21" s="22">
        <v>57401</v>
      </c>
      <c r="U21" s="22">
        <v>8322</v>
      </c>
      <c r="V21" s="22">
        <v>139218</v>
      </c>
    </row>
    <row r="22" spans="1:22" x14ac:dyDescent="0.25">
      <c r="A22" s="17" t="s">
        <v>14</v>
      </c>
      <c r="B22" s="22">
        <v>27384</v>
      </c>
      <c r="C22" s="22">
        <v>329175</v>
      </c>
      <c r="D22" s="22">
        <v>111115</v>
      </c>
      <c r="E22" s="22">
        <v>366588</v>
      </c>
      <c r="F22" s="22">
        <v>381980</v>
      </c>
      <c r="G22" s="22">
        <v>18060</v>
      </c>
      <c r="H22" s="22">
        <v>141149</v>
      </c>
      <c r="I22" s="22">
        <v>103490</v>
      </c>
      <c r="J22" s="22">
        <v>28831</v>
      </c>
      <c r="K22" s="22">
        <v>1008421</v>
      </c>
      <c r="L22" s="22">
        <v>435618</v>
      </c>
      <c r="M22" s="22">
        <v>30342</v>
      </c>
      <c r="N22" s="22">
        <v>487134</v>
      </c>
      <c r="O22" s="22">
        <v>104834</v>
      </c>
      <c r="P22" s="22">
        <v>345103</v>
      </c>
      <c r="Q22" s="23">
        <v>10</v>
      </c>
      <c r="R22" s="22">
        <v>416884</v>
      </c>
      <c r="S22" s="22">
        <v>192235</v>
      </c>
      <c r="T22" s="22">
        <v>51882</v>
      </c>
      <c r="U22" s="22">
        <v>8036</v>
      </c>
      <c r="V22" s="22">
        <v>127077</v>
      </c>
    </row>
    <row r="23" spans="1:22" x14ac:dyDescent="0.25">
      <c r="A23" s="17" t="s">
        <v>15</v>
      </c>
      <c r="B23" s="22">
        <v>24006</v>
      </c>
      <c r="C23" s="22">
        <v>377528</v>
      </c>
      <c r="D23" s="22">
        <v>94319</v>
      </c>
      <c r="E23" s="22">
        <v>318510</v>
      </c>
      <c r="F23" s="22">
        <v>260589</v>
      </c>
      <c r="G23" s="22">
        <v>12424</v>
      </c>
      <c r="H23" s="22">
        <v>126642</v>
      </c>
      <c r="I23" s="22">
        <v>110221</v>
      </c>
      <c r="J23" s="22">
        <v>27498</v>
      </c>
      <c r="K23" s="22">
        <v>991940</v>
      </c>
      <c r="L23" s="22">
        <v>362733</v>
      </c>
      <c r="M23" s="22">
        <v>21842</v>
      </c>
      <c r="N23" s="22">
        <v>453617</v>
      </c>
      <c r="O23" s="22">
        <v>92242</v>
      </c>
      <c r="P23" s="22">
        <v>338595</v>
      </c>
      <c r="Q23" s="23">
        <v>10</v>
      </c>
      <c r="R23" s="22">
        <v>371306</v>
      </c>
      <c r="S23" s="22">
        <v>133629</v>
      </c>
      <c r="T23" s="22">
        <v>37918</v>
      </c>
      <c r="U23" s="22">
        <v>6544</v>
      </c>
      <c r="V23" s="22">
        <v>104531</v>
      </c>
    </row>
    <row r="24" spans="1:22" x14ac:dyDescent="0.25">
      <c r="A24" s="17" t="s">
        <v>16</v>
      </c>
      <c r="B24" s="22">
        <v>19940</v>
      </c>
      <c r="C24" s="22">
        <v>327234</v>
      </c>
      <c r="D24" s="22">
        <v>75348</v>
      </c>
      <c r="E24" s="22">
        <v>243278</v>
      </c>
      <c r="F24" s="22">
        <v>182173</v>
      </c>
      <c r="G24" s="22">
        <v>8544</v>
      </c>
      <c r="H24" s="22">
        <v>102267</v>
      </c>
      <c r="I24" s="22">
        <v>91270</v>
      </c>
      <c r="J24" s="22">
        <v>22624</v>
      </c>
      <c r="K24" s="22">
        <v>789372</v>
      </c>
      <c r="L24" s="22">
        <v>277053</v>
      </c>
      <c r="M24" s="22">
        <v>17056</v>
      </c>
      <c r="N24" s="22">
        <v>372410</v>
      </c>
      <c r="O24" s="22">
        <v>72664</v>
      </c>
      <c r="P24" s="22">
        <v>277859</v>
      </c>
      <c r="Q24" s="23">
        <v>10</v>
      </c>
      <c r="R24" s="22">
        <v>288831</v>
      </c>
      <c r="S24" s="22">
        <v>108883</v>
      </c>
      <c r="T24" s="22">
        <v>30914</v>
      </c>
      <c r="U24" s="22">
        <v>5441</v>
      </c>
      <c r="V24" s="22">
        <v>81884</v>
      </c>
    </row>
    <row r="26" spans="1:22" x14ac:dyDescent="0.25">
      <c r="A26" s="15" t="s">
        <v>97</v>
      </c>
    </row>
    <row r="27" spans="1:22" x14ac:dyDescent="0.25">
      <c r="A27" s="158" t="s">
        <v>99</v>
      </c>
      <c r="B27" s="160" t="s">
        <v>29</v>
      </c>
      <c r="C27" s="160" t="s">
        <v>30</v>
      </c>
      <c r="D27" s="160" t="s">
        <v>31</v>
      </c>
      <c r="E27" s="160" t="s">
        <v>32</v>
      </c>
      <c r="F27" s="160" t="s">
        <v>33</v>
      </c>
      <c r="G27" s="160" t="s">
        <v>34</v>
      </c>
      <c r="H27" s="160" t="s">
        <v>35</v>
      </c>
      <c r="I27" s="160" t="s">
        <v>36</v>
      </c>
      <c r="J27" s="160" t="s">
        <v>37</v>
      </c>
      <c r="K27" s="160" t="s">
        <v>38</v>
      </c>
      <c r="L27" s="160" t="s">
        <v>39</v>
      </c>
      <c r="M27" s="160" t="s">
        <v>40</v>
      </c>
      <c r="N27" s="160" t="s">
        <v>41</v>
      </c>
      <c r="O27" s="160" t="s">
        <v>42</v>
      </c>
      <c r="P27" s="160" t="s">
        <v>43</v>
      </c>
      <c r="Q27" s="160" t="s">
        <v>44</v>
      </c>
      <c r="R27" s="160" t="s">
        <v>45</v>
      </c>
      <c r="S27" s="160" t="s">
        <v>46</v>
      </c>
      <c r="T27" s="160" t="s">
        <v>47</v>
      </c>
      <c r="U27" s="160" t="s">
        <v>48</v>
      </c>
      <c r="V27" s="162" t="s">
        <v>49</v>
      </c>
    </row>
    <row r="28" spans="1:22" ht="15.75" customHeight="1" x14ac:dyDescent="0.25">
      <c r="A28" s="158"/>
      <c r="B28" s="160"/>
      <c r="C28" s="160"/>
      <c r="D28" s="160"/>
      <c r="E28" s="160"/>
      <c r="F28" s="160"/>
      <c r="G28" s="160"/>
      <c r="H28" s="160"/>
      <c r="I28" s="160"/>
      <c r="J28" s="160"/>
      <c r="K28" s="160"/>
      <c r="L28" s="160"/>
      <c r="M28" s="160"/>
      <c r="N28" s="160"/>
      <c r="O28" s="160"/>
      <c r="P28" s="160"/>
      <c r="Q28" s="160"/>
      <c r="R28" s="160"/>
      <c r="S28" s="160"/>
      <c r="T28" s="160"/>
      <c r="U28" s="160"/>
      <c r="V28" s="162"/>
    </row>
    <row r="29" spans="1:22" ht="15.75" customHeight="1" x14ac:dyDescent="0.25">
      <c r="A29" s="158"/>
      <c r="B29" s="17">
        <v>1</v>
      </c>
      <c r="C29" s="17">
        <v>2</v>
      </c>
      <c r="D29" s="17">
        <v>3</v>
      </c>
      <c r="E29" s="17">
        <v>4</v>
      </c>
      <c r="F29" s="17">
        <v>5</v>
      </c>
      <c r="G29" s="17">
        <v>6</v>
      </c>
      <c r="H29" s="17">
        <v>7</v>
      </c>
      <c r="I29" s="17">
        <v>8</v>
      </c>
      <c r="J29" s="17">
        <v>9</v>
      </c>
      <c r="K29" s="17">
        <v>10</v>
      </c>
      <c r="L29" s="17">
        <v>11</v>
      </c>
      <c r="M29" s="17">
        <v>12</v>
      </c>
      <c r="N29" s="17">
        <v>13</v>
      </c>
      <c r="O29" s="17">
        <v>14</v>
      </c>
      <c r="P29" s="17">
        <v>15</v>
      </c>
      <c r="Q29" s="17">
        <v>16</v>
      </c>
      <c r="R29" s="17">
        <v>17</v>
      </c>
      <c r="S29" s="17">
        <v>18</v>
      </c>
      <c r="T29" s="17">
        <v>19</v>
      </c>
      <c r="U29" s="17">
        <v>20</v>
      </c>
      <c r="V29" s="17">
        <v>21</v>
      </c>
    </row>
    <row r="30" spans="1:22" x14ac:dyDescent="0.25">
      <c r="A30" s="17" t="s">
        <v>7</v>
      </c>
      <c r="B30" s="157">
        <f t="shared" ref="B30:V30" si="0">B15/SUM(B$15:B$24)</f>
        <v>8.278520915391456E-2</v>
      </c>
      <c r="C30" s="157">
        <f t="shared" si="0"/>
        <v>6.9099700062874594E-2</v>
      </c>
      <c r="D30" s="157">
        <f t="shared" si="0"/>
        <v>8.2769368054922299E-2</v>
      </c>
      <c r="E30" s="157">
        <f t="shared" si="0"/>
        <v>8.3816661003367793E-2</v>
      </c>
      <c r="F30" s="157">
        <f t="shared" si="0"/>
        <v>0.10146094981827922</v>
      </c>
      <c r="G30" s="157">
        <f t="shared" si="0"/>
        <v>0.10034423229994728</v>
      </c>
      <c r="H30" s="157">
        <f t="shared" si="0"/>
        <v>8.4358601469750674E-2</v>
      </c>
      <c r="I30" s="157">
        <f t="shared" si="0"/>
        <v>7.3383445588751997E-2</v>
      </c>
      <c r="J30" s="157">
        <f t="shared" si="0"/>
        <v>7.9165437528493657E-2</v>
      </c>
      <c r="K30" s="157">
        <f t="shared" si="0"/>
        <v>7.8478004799421824E-2</v>
      </c>
      <c r="L30" s="157">
        <f t="shared" si="0"/>
        <v>8.8039857547057704E-2</v>
      </c>
      <c r="M30" s="157">
        <f t="shared" si="0"/>
        <v>8.7266201172148852E-2</v>
      </c>
      <c r="N30" s="157">
        <f t="shared" si="0"/>
        <v>8.0675110285849908E-2</v>
      </c>
      <c r="O30" s="157">
        <f t="shared" si="0"/>
        <v>8.487038549602989E-2</v>
      </c>
      <c r="P30" s="157">
        <f t="shared" si="0"/>
        <v>7.7811255026219731E-2</v>
      </c>
      <c r="Q30" s="157">
        <f t="shared" si="0"/>
        <v>0.1</v>
      </c>
      <c r="R30" s="157">
        <f t="shared" si="0"/>
        <v>8.1590951388828187E-2</v>
      </c>
      <c r="S30" s="157">
        <f t="shared" si="0"/>
        <v>9.1467372019317914E-2</v>
      </c>
      <c r="T30" s="157">
        <f t="shared" si="0"/>
        <v>0.12349502105852435</v>
      </c>
      <c r="U30" s="157">
        <f t="shared" si="0"/>
        <v>8.6858014513722978E-2</v>
      </c>
      <c r="V30" s="157">
        <f t="shared" si="0"/>
        <v>8.4909590749348146E-2</v>
      </c>
    </row>
    <row r="31" spans="1:22" x14ac:dyDescent="0.25">
      <c r="A31" s="17" t="s">
        <v>8</v>
      </c>
      <c r="B31" s="157">
        <f t="shared" ref="B31:V31" si="1">B16/SUM(B$15:B$24)</f>
        <v>0.11744142374252449</v>
      </c>
      <c r="C31" s="157">
        <f t="shared" si="1"/>
        <v>0.10510099339902637</v>
      </c>
      <c r="D31" s="157">
        <f t="shared" si="1"/>
        <v>0.11817705144405508</v>
      </c>
      <c r="E31" s="157">
        <f t="shared" si="1"/>
        <v>0.120271916236402</v>
      </c>
      <c r="F31" s="157">
        <f t="shared" si="1"/>
        <v>0.12667052227220982</v>
      </c>
      <c r="G31" s="157">
        <f t="shared" si="1"/>
        <v>0.12730392714266517</v>
      </c>
      <c r="H31" s="157">
        <f t="shared" si="1"/>
        <v>0.11725319683980873</v>
      </c>
      <c r="I31" s="157">
        <f t="shared" si="1"/>
        <v>0.11029466745890021</v>
      </c>
      <c r="J31" s="157">
        <f t="shared" si="1"/>
        <v>0.11468082633841974</v>
      </c>
      <c r="K31" s="157">
        <f t="shared" si="1"/>
        <v>0.11399029849220299</v>
      </c>
      <c r="L31" s="157">
        <f t="shared" si="1"/>
        <v>0.12018223154071961</v>
      </c>
      <c r="M31" s="157">
        <f t="shared" si="1"/>
        <v>0.12860298676736803</v>
      </c>
      <c r="N31" s="157">
        <f t="shared" si="1"/>
        <v>0.11477283737070357</v>
      </c>
      <c r="O31" s="157">
        <f t="shared" si="1"/>
        <v>0.11876782534177792</v>
      </c>
      <c r="P31" s="157">
        <f t="shared" si="1"/>
        <v>0.11370973619681163</v>
      </c>
      <c r="Q31" s="157">
        <f t="shared" si="1"/>
        <v>0.1</v>
      </c>
      <c r="R31" s="157">
        <f t="shared" si="1"/>
        <v>0.11880054225835383</v>
      </c>
      <c r="S31" s="157">
        <f t="shared" si="1"/>
        <v>0.12812461014428242</v>
      </c>
      <c r="T31" s="157">
        <f t="shared" si="1"/>
        <v>0.11095706405153362</v>
      </c>
      <c r="U31" s="157">
        <f t="shared" si="1"/>
        <v>0.11699586123355429</v>
      </c>
      <c r="V31" s="157">
        <f t="shared" si="1"/>
        <v>0.12364031855798663</v>
      </c>
    </row>
    <row r="32" spans="1:22" x14ac:dyDescent="0.25">
      <c r="A32" s="17" t="s">
        <v>9</v>
      </c>
      <c r="B32" s="157">
        <f t="shared" ref="B32:V32" si="2">B17/SUM(B$15:B$24)</f>
        <v>0.12329343181913026</v>
      </c>
      <c r="C32" s="157">
        <f t="shared" si="2"/>
        <v>0.11334932572454935</v>
      </c>
      <c r="D32" s="157">
        <f t="shared" si="2"/>
        <v>0.12689055925380718</v>
      </c>
      <c r="E32" s="157">
        <f t="shared" si="2"/>
        <v>0.12515273868370655</v>
      </c>
      <c r="F32" s="157">
        <f t="shared" si="2"/>
        <v>0.13046273354315946</v>
      </c>
      <c r="G32" s="157">
        <f t="shared" si="2"/>
        <v>0.13092198434931826</v>
      </c>
      <c r="H32" s="157">
        <f t="shared" si="2"/>
        <v>0.12163320375787268</v>
      </c>
      <c r="I32" s="157">
        <f t="shared" si="2"/>
        <v>0.11670677415957181</v>
      </c>
      <c r="J32" s="157">
        <f t="shared" si="2"/>
        <v>0.1204912977017351</v>
      </c>
      <c r="K32" s="157">
        <f t="shared" si="2"/>
        <v>0.1200056541645204</v>
      </c>
      <c r="L32" s="157">
        <f t="shared" si="2"/>
        <v>0.12561611802162945</v>
      </c>
      <c r="M32" s="157">
        <f t="shared" si="2"/>
        <v>0.13260050662254752</v>
      </c>
      <c r="N32" s="157">
        <f t="shared" si="2"/>
        <v>0.12146189749438016</v>
      </c>
      <c r="O32" s="157">
        <f t="shared" si="2"/>
        <v>0.12305092859151347</v>
      </c>
      <c r="P32" s="157">
        <f t="shared" si="2"/>
        <v>0.11958740217787413</v>
      </c>
      <c r="Q32" s="157">
        <f t="shared" si="2"/>
        <v>0.1</v>
      </c>
      <c r="R32" s="157">
        <f t="shared" si="2"/>
        <v>0.12465205479802496</v>
      </c>
      <c r="S32" s="157">
        <f t="shared" si="2"/>
        <v>0.13088230082954017</v>
      </c>
      <c r="T32" s="157">
        <f t="shared" si="2"/>
        <v>0.1122231972253023</v>
      </c>
      <c r="U32" s="157">
        <f t="shared" si="2"/>
        <v>0.1264174433863858</v>
      </c>
      <c r="V32" s="157">
        <f t="shared" si="2"/>
        <v>0.12628599365151344</v>
      </c>
    </row>
    <row r="33" spans="1:23" x14ac:dyDescent="0.25">
      <c r="A33" s="17" t="s">
        <v>10</v>
      </c>
      <c r="B33" s="157">
        <f t="shared" ref="B33:V33" si="3">B18/SUM(B$15:B$24)</f>
        <v>0.10154823011264233</v>
      </c>
      <c r="C33" s="157">
        <f t="shared" si="3"/>
        <v>0.122139739717327</v>
      </c>
      <c r="D33" s="157">
        <f t="shared" si="3"/>
        <v>0.10119784271068093</v>
      </c>
      <c r="E33" s="157">
        <f t="shared" si="3"/>
        <v>0.10216477570902392</v>
      </c>
      <c r="F33" s="157">
        <f t="shared" si="3"/>
        <v>8.362150940869216E-2</v>
      </c>
      <c r="G33" s="157">
        <f t="shared" si="3"/>
        <v>8.4626358063615778E-2</v>
      </c>
      <c r="H33" s="157">
        <f t="shared" si="3"/>
        <v>0.10253418635642284</v>
      </c>
      <c r="I33" s="157">
        <f t="shared" si="3"/>
        <v>0.11678235259591828</v>
      </c>
      <c r="J33" s="157">
        <f t="shared" si="3"/>
        <v>0.10797643630382507</v>
      </c>
      <c r="K33" s="157">
        <f t="shared" si="3"/>
        <v>0.11090774370242397</v>
      </c>
      <c r="L33" s="157">
        <f t="shared" si="3"/>
        <v>9.8275219051621301E-2</v>
      </c>
      <c r="M33" s="157">
        <f t="shared" si="3"/>
        <v>8.9684030796170114E-2</v>
      </c>
      <c r="N33" s="157">
        <f t="shared" si="3"/>
        <v>0.1062667606492621</v>
      </c>
      <c r="O33" s="157">
        <f t="shared" si="3"/>
        <v>0.1017249574869783</v>
      </c>
      <c r="P33" s="157">
        <f t="shared" si="3"/>
        <v>0.11023872613510725</v>
      </c>
      <c r="Q33" s="157">
        <f t="shared" si="3"/>
        <v>0.1</v>
      </c>
      <c r="R33" s="157">
        <f t="shared" si="3"/>
        <v>0.10431139733855098</v>
      </c>
      <c r="S33" s="157">
        <f t="shared" si="3"/>
        <v>8.5479673620681373E-2</v>
      </c>
      <c r="T33" s="157">
        <f t="shared" si="3"/>
        <v>7.7058314608647649E-2</v>
      </c>
      <c r="U33" s="157">
        <f t="shared" si="3"/>
        <v>9.6717027266507397E-2</v>
      </c>
      <c r="V33" s="157">
        <f t="shared" si="3"/>
        <v>9.7600187053622042E-2</v>
      </c>
    </row>
    <row r="34" spans="1:23" x14ac:dyDescent="0.25">
      <c r="A34" s="17" t="s">
        <v>11</v>
      </c>
      <c r="B34" s="157">
        <f t="shared" ref="B34:V34" si="4">B19/SUM(B$15:B$24)</f>
        <v>0.10004590439687079</v>
      </c>
      <c r="C34" s="157">
        <f t="shared" si="4"/>
        <v>0.12556703141790446</v>
      </c>
      <c r="D34" s="157">
        <f t="shared" si="4"/>
        <v>9.5884410458163441E-2</v>
      </c>
      <c r="E34" s="157">
        <f t="shared" si="4"/>
        <v>9.2553070303121182E-2</v>
      </c>
      <c r="F34" s="157">
        <f t="shared" si="4"/>
        <v>6.9335638579594919E-2</v>
      </c>
      <c r="G34" s="157">
        <f t="shared" si="4"/>
        <v>6.9017025543483879E-2</v>
      </c>
      <c r="H34" s="157">
        <f t="shared" si="4"/>
        <v>9.8205174048290059E-2</v>
      </c>
      <c r="I34" s="157">
        <f t="shared" si="4"/>
        <v>0.11469590533720445</v>
      </c>
      <c r="J34" s="157">
        <f t="shared" si="4"/>
        <v>0.10536917351259383</v>
      </c>
      <c r="K34" s="157">
        <f t="shared" si="4"/>
        <v>0.1046806962462168</v>
      </c>
      <c r="L34" s="157">
        <f t="shared" si="4"/>
        <v>8.9028565836376486E-2</v>
      </c>
      <c r="M34" s="157">
        <f t="shared" si="4"/>
        <v>8.3056809648885024E-2</v>
      </c>
      <c r="N34" s="157">
        <f t="shared" si="4"/>
        <v>0.10347590421952817</v>
      </c>
      <c r="O34" s="157">
        <f t="shared" si="4"/>
        <v>9.5044220237537322E-2</v>
      </c>
      <c r="P34" s="157">
        <f t="shared" si="4"/>
        <v>0.10729692836980624</v>
      </c>
      <c r="Q34" s="157">
        <f t="shared" si="4"/>
        <v>0.1</v>
      </c>
      <c r="R34" s="157">
        <f t="shared" si="4"/>
        <v>9.6239558979123396E-2</v>
      </c>
      <c r="S34" s="157">
        <f t="shared" si="4"/>
        <v>8.2610335539259352E-2</v>
      </c>
      <c r="T34" s="157">
        <f t="shared" si="4"/>
        <v>7.4513710788040671E-2</v>
      </c>
      <c r="U34" s="157">
        <f t="shared" si="4"/>
        <v>9.5393519297419155E-2</v>
      </c>
      <c r="V34" s="157">
        <f t="shared" si="4"/>
        <v>9.0680620111098509E-2</v>
      </c>
    </row>
    <row r="35" spans="1:23" x14ac:dyDescent="0.25">
      <c r="A35" s="17" t="s">
        <v>12</v>
      </c>
      <c r="B35" s="157">
        <f t="shared" ref="B35:V35" si="5">B20/SUM(B$15:B$24)</f>
        <v>0.15221320184773224</v>
      </c>
      <c r="C35" s="157">
        <f t="shared" si="5"/>
        <v>0.12705260033482382</v>
      </c>
      <c r="D35" s="157">
        <f t="shared" si="5"/>
        <v>0.15218594895978532</v>
      </c>
      <c r="E35" s="157">
        <f t="shared" si="5"/>
        <v>0.15411223652272801</v>
      </c>
      <c r="F35" s="157">
        <f t="shared" si="5"/>
        <v>0.18655473234995099</v>
      </c>
      <c r="G35" s="157">
        <f t="shared" si="5"/>
        <v>0.18450024292669817</v>
      </c>
      <c r="H35" s="157">
        <f t="shared" si="5"/>
        <v>0.15510901480256792</v>
      </c>
      <c r="I35" s="157">
        <f t="shared" si="5"/>
        <v>0.13492921757825785</v>
      </c>
      <c r="J35" s="157">
        <f t="shared" si="5"/>
        <v>0.14556273670221484</v>
      </c>
      <c r="K35" s="157">
        <f t="shared" si="5"/>
        <v>0.144296077304579</v>
      </c>
      <c r="L35" s="157">
        <f t="shared" si="5"/>
        <v>0.16187718470814294</v>
      </c>
      <c r="M35" s="157">
        <f t="shared" si="5"/>
        <v>0.16045228369616357</v>
      </c>
      <c r="N35" s="157">
        <f t="shared" si="5"/>
        <v>0.14833600140796122</v>
      </c>
      <c r="O35" s="157">
        <f t="shared" si="5"/>
        <v>0.15604956951381171</v>
      </c>
      <c r="P35" s="157">
        <f t="shared" si="5"/>
        <v>0.14307039487093964</v>
      </c>
      <c r="Q35" s="157">
        <f t="shared" si="5"/>
        <v>0.1</v>
      </c>
      <c r="R35" s="157">
        <f t="shared" si="5"/>
        <v>0.15001983690038678</v>
      </c>
      <c r="S35" s="157">
        <f t="shared" si="5"/>
        <v>0.16817981250033373</v>
      </c>
      <c r="T35" s="157">
        <f t="shared" si="5"/>
        <v>0.22706656529376296</v>
      </c>
      <c r="U35" s="157">
        <f t="shared" si="5"/>
        <v>0.15971824982895341</v>
      </c>
      <c r="V35" s="157">
        <f t="shared" si="5"/>
        <v>0.1561217549030722</v>
      </c>
    </row>
    <row r="36" spans="1:23" x14ac:dyDescent="0.25">
      <c r="A36" s="17" t="s">
        <v>13</v>
      </c>
      <c r="B36" s="157">
        <f t="shared" ref="B36:V36" si="6">B21/SUM(B$15:B$24)</f>
        <v>9.3696331179357786E-2</v>
      </c>
      <c r="C36" s="157">
        <f t="shared" si="6"/>
        <v>8.3850802823440221E-2</v>
      </c>
      <c r="D36" s="157">
        <f t="shared" si="6"/>
        <v>9.4283704388833156E-2</v>
      </c>
      <c r="E36" s="157">
        <f t="shared" si="6"/>
        <v>9.595421393249412E-2</v>
      </c>
      <c r="F36" s="157">
        <f t="shared" si="6"/>
        <v>0.10105939864729123</v>
      </c>
      <c r="G36" s="157">
        <f t="shared" si="6"/>
        <v>0.1015640344439046</v>
      </c>
      <c r="H36" s="157">
        <f t="shared" si="6"/>
        <v>9.3545618364940769E-2</v>
      </c>
      <c r="I36" s="157">
        <f t="shared" si="6"/>
        <v>8.7995008607097455E-2</v>
      </c>
      <c r="J36" s="157">
        <f t="shared" si="6"/>
        <v>9.149555573433929E-2</v>
      </c>
      <c r="K36" s="157">
        <f t="shared" si="6"/>
        <v>9.0942705512632227E-2</v>
      </c>
      <c r="L36" s="157">
        <f t="shared" si="6"/>
        <v>9.5882705355883585E-2</v>
      </c>
      <c r="M36" s="157">
        <f t="shared" si="6"/>
        <v>0.10260197102966515</v>
      </c>
      <c r="N36" s="157">
        <f t="shared" si="6"/>
        <v>9.1567076818327667E-2</v>
      </c>
      <c r="O36" s="157">
        <f t="shared" si="6"/>
        <v>9.4754663042459455E-2</v>
      </c>
      <c r="P36" s="157">
        <f t="shared" si="6"/>
        <v>9.0718896115527387E-2</v>
      </c>
      <c r="Q36" s="157">
        <f t="shared" si="6"/>
        <v>0.1</v>
      </c>
      <c r="R36" s="157">
        <f t="shared" si="6"/>
        <v>9.4780518181196066E-2</v>
      </c>
      <c r="S36" s="157">
        <f t="shared" si="6"/>
        <v>0.10221950169339974</v>
      </c>
      <c r="T36" s="157">
        <f t="shared" si="6"/>
        <v>8.8522911458582335E-2</v>
      </c>
      <c r="U36" s="157">
        <f t="shared" si="6"/>
        <v>9.3340960328409439E-2</v>
      </c>
      <c r="V36" s="157">
        <f t="shared" si="6"/>
        <v>9.8641027094433731E-2</v>
      </c>
    </row>
    <row r="37" spans="1:23" x14ac:dyDescent="0.25">
      <c r="A37" s="17" t="s">
        <v>14</v>
      </c>
      <c r="B37" s="157">
        <f t="shared" ref="B37:V37" si="7">B22/SUM(B$15:B$24)</f>
        <v>8.7905314958734188E-2</v>
      </c>
      <c r="C37" s="157">
        <f t="shared" si="7"/>
        <v>8.0815096385213836E-2</v>
      </c>
      <c r="D37" s="157">
        <f t="shared" si="7"/>
        <v>9.0469203913343663E-2</v>
      </c>
      <c r="E37" s="157">
        <f t="shared" si="7"/>
        <v>8.9230547542014704E-2</v>
      </c>
      <c r="F37" s="157">
        <f t="shared" si="7"/>
        <v>9.3016686654937508E-2</v>
      </c>
      <c r="G37" s="157">
        <f t="shared" si="7"/>
        <v>9.3345875931649724E-2</v>
      </c>
      <c r="H37" s="157">
        <f t="shared" si="7"/>
        <v>8.6720942134634368E-2</v>
      </c>
      <c r="I37" s="157">
        <f t="shared" si="7"/>
        <v>8.3208642313793629E-2</v>
      </c>
      <c r="J37" s="157">
        <f t="shared" si="7"/>
        <v>8.590856403884374E-2</v>
      </c>
      <c r="K37" s="157">
        <f t="shared" si="7"/>
        <v>8.5560897956669449E-2</v>
      </c>
      <c r="L37" s="157">
        <f t="shared" si="7"/>
        <v>8.9561057928149335E-2</v>
      </c>
      <c r="M37" s="157">
        <f t="shared" si="7"/>
        <v>9.4538384603161246E-2</v>
      </c>
      <c r="N37" s="157">
        <f t="shared" si="7"/>
        <v>8.6599213710555525E-2</v>
      </c>
      <c r="O37" s="157">
        <f t="shared" si="7"/>
        <v>8.7732482626568298E-2</v>
      </c>
      <c r="P37" s="157">
        <f t="shared" si="7"/>
        <v>8.5262722280900052E-2</v>
      </c>
      <c r="Q37" s="157">
        <f t="shared" si="7"/>
        <v>0.1</v>
      </c>
      <c r="R37" s="157">
        <f t="shared" si="7"/>
        <v>8.887357744055166E-2</v>
      </c>
      <c r="S37" s="157">
        <f t="shared" si="7"/>
        <v>9.3315379137567558E-2</v>
      </c>
      <c r="T37" s="157">
        <f t="shared" si="7"/>
        <v>8.0011597224685427E-2</v>
      </c>
      <c r="U37" s="157">
        <f t="shared" si="7"/>
        <v>9.0133135928754896E-2</v>
      </c>
      <c r="V37" s="157">
        <f t="shared" si="7"/>
        <v>9.0038686090012476E-2</v>
      </c>
    </row>
    <row r="38" spans="1:23" x14ac:dyDescent="0.25">
      <c r="A38" s="17" t="s">
        <v>15</v>
      </c>
      <c r="B38" s="157">
        <f t="shared" ref="B38:V38" si="8">B23/SUM(B$15:B$24)</f>
        <v>7.7061604984639681E-2</v>
      </c>
      <c r="C38" s="157">
        <f t="shared" si="8"/>
        <v>9.2686144780487617E-2</v>
      </c>
      <c r="D38" s="157">
        <f t="shared" si="8"/>
        <v>7.6793995805270771E-2</v>
      </c>
      <c r="E38" s="157">
        <f t="shared" si="8"/>
        <v>7.7527965175093305E-2</v>
      </c>
      <c r="F38" s="157">
        <f t="shared" si="8"/>
        <v>6.3456530076767131E-2</v>
      </c>
      <c r="G38" s="157">
        <f t="shared" si="8"/>
        <v>6.4215346764939993E-2</v>
      </c>
      <c r="H38" s="157">
        <f t="shared" si="8"/>
        <v>7.7807944468712961E-2</v>
      </c>
      <c r="I38" s="157">
        <f t="shared" si="8"/>
        <v>8.8620540771752312E-2</v>
      </c>
      <c r="J38" s="157">
        <f t="shared" si="8"/>
        <v>8.1936585409459445E-2</v>
      </c>
      <c r="K38" s="157">
        <f t="shared" si="8"/>
        <v>8.4162544333307901E-2</v>
      </c>
      <c r="L38" s="157">
        <f t="shared" si="8"/>
        <v>7.45762370366959E-2</v>
      </c>
      <c r="M38" s="157">
        <f t="shared" si="8"/>
        <v>6.805442609261908E-2</v>
      </c>
      <c r="N38" s="157">
        <f t="shared" si="8"/>
        <v>8.0640800120174466E-2</v>
      </c>
      <c r="O38" s="157">
        <f t="shared" si="8"/>
        <v>7.7194609214948515E-2</v>
      </c>
      <c r="P38" s="157">
        <f t="shared" si="8"/>
        <v>8.3654826097429913E-2</v>
      </c>
      <c r="Q38" s="157">
        <f t="shared" si="8"/>
        <v>0.1</v>
      </c>
      <c r="R38" s="157">
        <f t="shared" si="8"/>
        <v>7.9157013809936269E-2</v>
      </c>
      <c r="S38" s="157">
        <f t="shared" si="8"/>
        <v>6.4866651747985615E-2</v>
      </c>
      <c r="T38" s="157">
        <f t="shared" si="8"/>
        <v>5.8476537981681939E-2</v>
      </c>
      <c r="U38" s="157">
        <f t="shared" si="8"/>
        <v>7.3398611438249384E-2</v>
      </c>
      <c r="V38" s="157">
        <f t="shared" si="8"/>
        <v>7.4064023353361291E-2</v>
      </c>
    </row>
    <row r="39" spans="1:23" x14ac:dyDescent="0.25">
      <c r="A39" s="17" t="s">
        <v>16</v>
      </c>
      <c r="B39" s="157">
        <f t="shared" ref="B39:V39" si="9">B24/SUM(B$15:B$24)</f>
        <v>6.4009347804453692E-2</v>
      </c>
      <c r="C39" s="157">
        <f t="shared" si="9"/>
        <v>8.0338565354352742E-2</v>
      </c>
      <c r="D39" s="157">
        <f t="shared" si="9"/>
        <v>6.1347915011138177E-2</v>
      </c>
      <c r="E39" s="157">
        <f t="shared" si="9"/>
        <v>5.9215874892048437E-2</v>
      </c>
      <c r="F39" s="157">
        <f t="shared" si="9"/>
        <v>4.4361298649117573E-2</v>
      </c>
      <c r="G39" s="157">
        <f t="shared" si="9"/>
        <v>4.4160972533777147E-2</v>
      </c>
      <c r="H39" s="157">
        <f t="shared" si="9"/>
        <v>6.2832117756999012E-2</v>
      </c>
      <c r="I39" s="157">
        <f t="shared" si="9"/>
        <v>7.3383445588751997E-2</v>
      </c>
      <c r="J39" s="157">
        <f t="shared" si="9"/>
        <v>6.7413386730075298E-2</v>
      </c>
      <c r="K39" s="157">
        <f t="shared" si="9"/>
        <v>6.6975377488025414E-2</v>
      </c>
      <c r="L39" s="157">
        <f t="shared" si="9"/>
        <v>5.6960822973723672E-2</v>
      </c>
      <c r="M39" s="157">
        <f t="shared" si="9"/>
        <v>5.3142399571271447E-2</v>
      </c>
      <c r="N39" s="157">
        <f t="shared" si="9"/>
        <v>6.6204397923257233E-2</v>
      </c>
      <c r="O39" s="157">
        <f t="shared" si="9"/>
        <v>6.0810358448375131E-2</v>
      </c>
      <c r="P39" s="157">
        <f t="shared" si="9"/>
        <v>6.864911272938401E-2</v>
      </c>
      <c r="Q39" s="157">
        <f t="shared" si="9"/>
        <v>0.1</v>
      </c>
      <c r="R39" s="157">
        <f t="shared" si="9"/>
        <v>6.157454890504787E-2</v>
      </c>
      <c r="S39" s="157">
        <f t="shared" si="9"/>
        <v>5.2854362767632161E-2</v>
      </c>
      <c r="T39" s="157">
        <f t="shared" si="9"/>
        <v>4.7675080309238761E-2</v>
      </c>
      <c r="U39" s="157">
        <f t="shared" si="9"/>
        <v>6.1027176778043229E-2</v>
      </c>
      <c r="V39" s="157">
        <f t="shared" si="9"/>
        <v>5.8017798435551528E-2</v>
      </c>
    </row>
    <row r="41" spans="1:23" x14ac:dyDescent="0.25">
      <c r="A41" s="15" t="s">
        <v>96</v>
      </c>
    </row>
    <row r="42" spans="1:23" x14ac:dyDescent="0.25">
      <c r="A42" s="158" t="s">
        <v>99</v>
      </c>
      <c r="B42" s="160" t="s">
        <v>29</v>
      </c>
      <c r="C42" s="160" t="s">
        <v>30</v>
      </c>
      <c r="D42" s="160" t="s">
        <v>31</v>
      </c>
      <c r="E42" s="160" t="s">
        <v>32</v>
      </c>
      <c r="F42" s="160" t="s">
        <v>33</v>
      </c>
      <c r="G42" s="160" t="s">
        <v>34</v>
      </c>
      <c r="H42" s="160" t="s">
        <v>35</v>
      </c>
      <c r="I42" s="160" t="s">
        <v>36</v>
      </c>
      <c r="J42" s="160" t="s">
        <v>37</v>
      </c>
      <c r="K42" s="160" t="s">
        <v>38</v>
      </c>
      <c r="L42" s="160" t="s">
        <v>39</v>
      </c>
      <c r="M42" s="160" t="s">
        <v>40</v>
      </c>
      <c r="N42" s="160" t="s">
        <v>41</v>
      </c>
      <c r="O42" s="160" t="s">
        <v>42</v>
      </c>
      <c r="P42" s="160" t="s">
        <v>43</v>
      </c>
      <c r="Q42" s="160" t="s">
        <v>44</v>
      </c>
      <c r="R42" s="160" t="s">
        <v>45</v>
      </c>
      <c r="S42" s="160" t="s">
        <v>46</v>
      </c>
      <c r="T42" s="160" t="s">
        <v>47</v>
      </c>
      <c r="U42" s="160" t="s">
        <v>48</v>
      </c>
      <c r="V42" s="162" t="s">
        <v>49</v>
      </c>
    </row>
    <row r="43" spans="1:23" x14ac:dyDescent="0.25">
      <c r="A43" s="158"/>
      <c r="B43" s="160"/>
      <c r="C43" s="160"/>
      <c r="D43" s="160"/>
      <c r="E43" s="160"/>
      <c r="F43" s="160"/>
      <c r="G43" s="160"/>
      <c r="H43" s="160"/>
      <c r="I43" s="160"/>
      <c r="J43" s="160"/>
      <c r="K43" s="160"/>
      <c r="L43" s="160"/>
      <c r="M43" s="160"/>
      <c r="N43" s="160"/>
      <c r="O43" s="160"/>
      <c r="P43" s="160"/>
      <c r="Q43" s="160"/>
      <c r="R43" s="160"/>
      <c r="S43" s="160"/>
      <c r="T43" s="160"/>
      <c r="U43" s="160"/>
      <c r="V43" s="162"/>
    </row>
    <row r="44" spans="1:23" x14ac:dyDescent="0.25">
      <c r="A44" s="158"/>
      <c r="B44" s="17">
        <v>1</v>
      </c>
      <c r="C44" s="17">
        <v>2</v>
      </c>
      <c r="D44" s="17">
        <v>3</v>
      </c>
      <c r="E44" s="17">
        <v>4</v>
      </c>
      <c r="F44" s="17">
        <v>5</v>
      </c>
      <c r="G44" s="17">
        <v>6</v>
      </c>
      <c r="H44" s="17">
        <v>7</v>
      </c>
      <c r="I44" s="17">
        <v>8</v>
      </c>
      <c r="J44" s="17">
        <v>9</v>
      </c>
      <c r="K44" s="17">
        <v>10</v>
      </c>
      <c r="L44" s="17">
        <v>11</v>
      </c>
      <c r="M44" s="17">
        <v>12</v>
      </c>
      <c r="N44" s="17">
        <v>13</v>
      </c>
      <c r="O44" s="17">
        <v>14</v>
      </c>
      <c r="P44" s="17">
        <v>15</v>
      </c>
      <c r="Q44" s="17">
        <v>16</v>
      </c>
      <c r="R44" s="17">
        <v>17</v>
      </c>
      <c r="S44" s="17">
        <v>18</v>
      </c>
      <c r="T44" s="17">
        <v>19</v>
      </c>
      <c r="U44" s="17">
        <v>20</v>
      </c>
      <c r="V44" s="17">
        <v>21</v>
      </c>
      <c r="W44" s="24" t="s">
        <v>17</v>
      </c>
    </row>
    <row r="45" spans="1:23" x14ac:dyDescent="0.25">
      <c r="A45" s="17" t="s">
        <v>7</v>
      </c>
      <c r="B45" s="156">
        <f t="shared" ref="B45:V45" si="10">B30*B$9</f>
        <v>1.6784977658554751E-3</v>
      </c>
      <c r="C45" s="156">
        <f t="shared" si="10"/>
        <v>2.352597714253335E-3</v>
      </c>
      <c r="D45" s="156">
        <f t="shared" si="10"/>
        <v>2.3373625894897282E-3</v>
      </c>
      <c r="E45" s="156">
        <f t="shared" si="10"/>
        <v>6.5662149083193051E-3</v>
      </c>
      <c r="F45" s="156">
        <f t="shared" si="10"/>
        <v>1.2500267122075451E-2</v>
      </c>
      <c r="G45" s="156">
        <f t="shared" si="10"/>
        <v>8.9809492727705012E-5</v>
      </c>
      <c r="H45" s="156">
        <f t="shared" si="10"/>
        <v>1.1899581097975637E-2</v>
      </c>
      <c r="I45" s="156">
        <f t="shared" si="10"/>
        <v>4.027429526967431E-4</v>
      </c>
      <c r="J45" s="156">
        <f t="shared" si="10"/>
        <v>1.4342652479819786E-3</v>
      </c>
      <c r="K45" s="156">
        <f t="shared" si="10"/>
        <v>1.0943507236096852E-2</v>
      </c>
      <c r="L45" s="156">
        <f t="shared" si="10"/>
        <v>2.6113158694744509E-2</v>
      </c>
      <c r="M45" s="156">
        <f t="shared" si="10"/>
        <v>7.6718745587616723E-4</v>
      </c>
      <c r="N45" s="156">
        <f t="shared" si="10"/>
        <v>4.5792942522065623E-3</v>
      </c>
      <c r="O45" s="156">
        <f t="shared" si="10"/>
        <v>2.1371211771755287E-4</v>
      </c>
      <c r="P45" s="156">
        <f t="shared" si="10"/>
        <v>2.3353997977610761E-3</v>
      </c>
      <c r="Q45" s="156">
        <f t="shared" si="10"/>
        <v>0</v>
      </c>
      <c r="R45" s="156">
        <f t="shared" si="10"/>
        <v>1.1165040331526088E-3</v>
      </c>
      <c r="S45" s="156">
        <f t="shared" si="10"/>
        <v>1.7939687755630064E-5</v>
      </c>
      <c r="T45" s="156">
        <f t="shared" si="10"/>
        <v>4.9208110129528043E-5</v>
      </c>
      <c r="U45" s="156">
        <f t="shared" si="10"/>
        <v>9.1739348071379699E-5</v>
      </c>
      <c r="V45" s="156">
        <f t="shared" si="10"/>
        <v>7.3686920320825298E-5</v>
      </c>
      <c r="W45" s="156">
        <f>SUM(B45:V45)</f>
        <v>8.556267654520805E-2</v>
      </c>
    </row>
    <row r="46" spans="1:23" x14ac:dyDescent="0.25">
      <c r="A46" s="17" t="s">
        <v>8</v>
      </c>
      <c r="B46" s="156">
        <f t="shared" ref="B46:V46" si="11">B31*B$9</f>
        <v>2.3811640918152137E-3</v>
      </c>
      <c r="C46" s="156">
        <f t="shared" si="11"/>
        <v>3.5783130261248502E-3</v>
      </c>
      <c r="D46" s="156">
        <f t="shared" si="11"/>
        <v>3.3372565898805414E-3</v>
      </c>
      <c r="E46" s="156">
        <f t="shared" si="11"/>
        <v>9.4221272953340599E-3</v>
      </c>
      <c r="F46" s="156">
        <f t="shared" si="11"/>
        <v>1.5606155547837798E-2</v>
      </c>
      <c r="G46" s="156">
        <f t="shared" si="11"/>
        <v>1.1393879704766531E-4</v>
      </c>
      <c r="H46" s="156">
        <f t="shared" si="11"/>
        <v>1.653967586568536E-2</v>
      </c>
      <c r="I46" s="156">
        <f t="shared" si="11"/>
        <v>6.0531908365326866E-4</v>
      </c>
      <c r="J46" s="156">
        <f t="shared" si="11"/>
        <v>2.0777087699142736E-3</v>
      </c>
      <c r="K46" s="156">
        <f t="shared" si="11"/>
        <v>1.5895583222108801E-2</v>
      </c>
      <c r="L46" s="156">
        <f t="shared" si="11"/>
        <v>3.5646782854389381E-2</v>
      </c>
      <c r="M46" s="156">
        <f t="shared" si="11"/>
        <v>1.1305934819083405E-3</v>
      </c>
      <c r="N46" s="156">
        <f t="shared" si="11"/>
        <v>6.5147552029226757E-3</v>
      </c>
      <c r="O46" s="156">
        <f t="shared" si="11"/>
        <v>2.9906926099313098E-4</v>
      </c>
      <c r="P46" s="156">
        <f t="shared" si="11"/>
        <v>3.4128442579163562E-3</v>
      </c>
      <c r="Q46" s="156">
        <f t="shared" si="11"/>
        <v>0</v>
      </c>
      <c r="R46" s="156">
        <f t="shared" si="11"/>
        <v>1.6256862104727322E-3</v>
      </c>
      <c r="S46" s="156">
        <f t="shared" si="11"/>
        <v>2.5129348849279412E-5</v>
      </c>
      <c r="T46" s="156">
        <f t="shared" si="11"/>
        <v>4.4212206943221399E-5</v>
      </c>
      <c r="U46" s="156">
        <f t="shared" si="11"/>
        <v>1.2357091163901882E-4</v>
      </c>
      <c r="V46" s="156">
        <f t="shared" si="11"/>
        <v>1.0729853037354042E-4</v>
      </c>
      <c r="W46" s="156">
        <f t="shared" ref="W46:W54" si="12">SUM(B46:V46)</f>
        <v>0.11848718455580953</v>
      </c>
    </row>
    <row r="47" spans="1:23" x14ac:dyDescent="0.25">
      <c r="A47" s="17" t="s">
        <v>9</v>
      </c>
      <c r="B47" s="156">
        <f t="shared" ref="B47:P47" si="13">B32*B$9</f>
        <v>2.4998155101390936E-3</v>
      </c>
      <c r="C47" s="156">
        <f t="shared" si="13"/>
        <v>3.8591392490718445E-3</v>
      </c>
      <c r="D47" s="156">
        <f t="shared" si="13"/>
        <v>3.5833213799877548E-3</v>
      </c>
      <c r="E47" s="156">
        <f t="shared" si="13"/>
        <v>9.8044919557094337E-3</v>
      </c>
      <c r="F47" s="156">
        <f t="shared" si="13"/>
        <v>1.6073366370869889E-2</v>
      </c>
      <c r="G47" s="156">
        <f t="shared" si="13"/>
        <v>1.1717700890042073E-4</v>
      </c>
      <c r="H47" s="156">
        <f t="shared" si="13"/>
        <v>1.7157517397231915E-2</v>
      </c>
      <c r="I47" s="156">
        <f t="shared" si="13"/>
        <v>6.405100012357879E-4</v>
      </c>
      <c r="J47" s="156">
        <f t="shared" si="13"/>
        <v>2.1829789157124086E-3</v>
      </c>
      <c r="K47" s="156">
        <f t="shared" si="13"/>
        <v>1.6734405367192014E-2</v>
      </c>
      <c r="L47" s="156">
        <f t="shared" si="13"/>
        <v>3.72585067253575E-2</v>
      </c>
      <c r="M47" s="156">
        <f t="shared" si="13"/>
        <v>1.1657370660946133E-3</v>
      </c>
      <c r="N47" s="156">
        <f t="shared" si="13"/>
        <v>6.8944407647828733E-3</v>
      </c>
      <c r="O47" s="156">
        <f t="shared" si="13"/>
        <v>3.0985454328629007E-4</v>
      </c>
      <c r="P47" s="156">
        <f t="shared" si="13"/>
        <v>3.5892544692521723E-3</v>
      </c>
      <c r="Q47" s="156">
        <f t="shared" ref="Q47" si="14">Q32*Q$9</f>
        <v>0</v>
      </c>
      <c r="R47" s="156">
        <f t="shared" ref="R47:V47" si="15">R32*R$9</f>
        <v>1.7057592729800097E-3</v>
      </c>
      <c r="S47" s="156">
        <f t="shared" si="15"/>
        <v>2.5670220514529454E-5</v>
      </c>
      <c r="T47" s="156">
        <f t="shared" si="15"/>
        <v>4.4716713279747573E-5</v>
      </c>
      <c r="U47" s="156">
        <f t="shared" si="15"/>
        <v>1.335219772872573E-4</v>
      </c>
      <c r="V47" s="156">
        <f t="shared" si="15"/>
        <v>1.095945212986056E-4</v>
      </c>
      <c r="W47" s="156">
        <f t="shared" si="12"/>
        <v>0.12388977943018417</v>
      </c>
    </row>
    <row r="48" spans="1:23" x14ac:dyDescent="0.25">
      <c r="A48" s="17" t="s">
        <v>10</v>
      </c>
      <c r="B48" s="156">
        <f t="shared" ref="B48:P48" si="16">B33*B$9</f>
        <v>2.0589242826426807E-3</v>
      </c>
      <c r="C48" s="156">
        <f t="shared" si="16"/>
        <v>4.1584214145216503E-3</v>
      </c>
      <c r="D48" s="156">
        <f t="shared" si="16"/>
        <v>2.8577728361059364E-3</v>
      </c>
      <c r="E48" s="156">
        <f t="shared" si="16"/>
        <v>8.00361008581261E-3</v>
      </c>
      <c r="F48" s="156">
        <f t="shared" si="16"/>
        <v>1.0302399165708164E-2</v>
      </c>
      <c r="G48" s="156">
        <f t="shared" si="16"/>
        <v>7.5741775235949009E-5</v>
      </c>
      <c r="H48" s="156">
        <f t="shared" si="16"/>
        <v>1.4463419788919917E-2</v>
      </c>
      <c r="I48" s="156">
        <f t="shared" si="16"/>
        <v>6.4092479073456611E-4</v>
      </c>
      <c r="J48" s="156">
        <f t="shared" si="16"/>
        <v>1.9562432170702709E-3</v>
      </c>
      <c r="K48" s="156">
        <f t="shared" si="16"/>
        <v>1.5465730797422026E-2</v>
      </c>
      <c r="L48" s="156">
        <f t="shared" si="16"/>
        <v>2.9149029341444352E-2</v>
      </c>
      <c r="M48" s="156">
        <f t="shared" si="16"/>
        <v>7.8844343508781766E-4</v>
      </c>
      <c r="N48" s="156">
        <f t="shared" si="16"/>
        <v>6.0319318376826419E-3</v>
      </c>
      <c r="O48" s="156">
        <f t="shared" si="16"/>
        <v>2.5615361544796008E-4</v>
      </c>
      <c r="P48" s="156">
        <f t="shared" si="16"/>
        <v>3.3086665757365795E-3</v>
      </c>
      <c r="Q48" s="156">
        <f t="shared" ref="Q48" si="17">Q33*Q$9</f>
        <v>0</v>
      </c>
      <c r="R48" s="156">
        <f t="shared" ref="R48:V48" si="18">R33*R$9</f>
        <v>1.4274143621301528E-3</v>
      </c>
      <c r="S48" s="156">
        <f t="shared" si="18"/>
        <v>1.676530789453884E-5</v>
      </c>
      <c r="T48" s="156">
        <f t="shared" si="18"/>
        <v>3.0704833273085341E-5</v>
      </c>
      <c r="U48" s="156">
        <f t="shared" si="18"/>
        <v>1.0215242748185785E-4</v>
      </c>
      <c r="V48" s="156">
        <f t="shared" si="18"/>
        <v>8.4700175130370708E-5</v>
      </c>
      <c r="W48" s="156">
        <f t="shared" si="12"/>
        <v>0.10117915006548314</v>
      </c>
    </row>
    <row r="49" spans="1:23" x14ac:dyDescent="0.25">
      <c r="A49" s="17" t="s">
        <v>11</v>
      </c>
      <c r="B49" s="156">
        <f t="shared" ref="B49:P49" si="19">B34*B$9</f>
        <v>2.0284641269786236E-3</v>
      </c>
      <c r="C49" s="156">
        <f t="shared" si="19"/>
        <v>4.2751084423021087E-3</v>
      </c>
      <c r="D49" s="156">
        <f t="shared" si="19"/>
        <v>2.7077243572945298E-3</v>
      </c>
      <c r="E49" s="156">
        <f t="shared" si="19"/>
        <v>7.2506270562443477E-3</v>
      </c>
      <c r="F49" s="156">
        <f t="shared" si="19"/>
        <v>8.5423407219914413E-3</v>
      </c>
      <c r="G49" s="156">
        <f t="shared" si="19"/>
        <v>6.1771204099775684E-5</v>
      </c>
      <c r="H49" s="156">
        <f t="shared" si="19"/>
        <v>1.3852771530920615E-2</v>
      </c>
      <c r="I49" s="156">
        <f t="shared" si="19"/>
        <v>6.2947395297574006E-4</v>
      </c>
      <c r="J49" s="156">
        <f t="shared" si="19"/>
        <v>1.9090066131864925E-3</v>
      </c>
      <c r="K49" s="156">
        <f t="shared" si="19"/>
        <v>1.4597388908880236E-2</v>
      </c>
      <c r="L49" s="156">
        <f t="shared" si="19"/>
        <v>2.6406415603389445E-2</v>
      </c>
      <c r="M49" s="156">
        <f t="shared" si="19"/>
        <v>7.3018123433629635E-4</v>
      </c>
      <c r="N49" s="156">
        <f t="shared" si="19"/>
        <v>5.8735167730842612E-3</v>
      </c>
      <c r="O49" s="156">
        <f t="shared" si="19"/>
        <v>2.3933085098014274E-4</v>
      </c>
      <c r="P49" s="156">
        <f t="shared" si="19"/>
        <v>3.2203724863555136E-3</v>
      </c>
      <c r="Q49" s="156">
        <f t="shared" ref="Q49" si="20">Q34*Q$9</f>
        <v>0</v>
      </c>
      <c r="R49" s="156">
        <f t="shared" ref="R49:V49" si="21">R34*R$9</f>
        <v>1.3169579949736001E-3</v>
      </c>
      <c r="S49" s="156">
        <f t="shared" si="21"/>
        <v>1.620253859101957E-5</v>
      </c>
      <c r="T49" s="156">
        <f t="shared" si="21"/>
        <v>2.9690904582137496E-5</v>
      </c>
      <c r="U49" s="156">
        <f t="shared" si="21"/>
        <v>1.0075453968841483E-4</v>
      </c>
      <c r="V49" s="156">
        <f t="shared" si="21"/>
        <v>7.8695181189774398E-5</v>
      </c>
      <c r="W49" s="156">
        <f t="shared" si="12"/>
        <v>9.3866795022044522E-2</v>
      </c>
    </row>
    <row r="50" spans="1:23" x14ac:dyDescent="0.25">
      <c r="A50" s="17" t="s">
        <v>12</v>
      </c>
      <c r="B50" s="156">
        <f t="shared" ref="B50:P50" si="22">B35*B$9</f>
        <v>3.0861735066721879E-3</v>
      </c>
      <c r="C50" s="156">
        <f t="shared" si="22"/>
        <v>4.3256867521229937E-3</v>
      </c>
      <c r="D50" s="156">
        <f t="shared" si="22"/>
        <v>4.2976496269556946E-3</v>
      </c>
      <c r="E50" s="156">
        <f t="shared" si="22"/>
        <v>1.2073185126872421E-2</v>
      </c>
      <c r="F50" s="156">
        <f t="shared" si="22"/>
        <v>2.2984054372035333E-2</v>
      </c>
      <c r="G50" s="156">
        <f t="shared" si="22"/>
        <v>1.6513030042279584E-4</v>
      </c>
      <c r="H50" s="156">
        <f t="shared" si="22"/>
        <v>2.1879598150191047E-2</v>
      </c>
      <c r="I50" s="156">
        <f t="shared" si="22"/>
        <v>7.4051839698377714E-4</v>
      </c>
      <c r="J50" s="156">
        <f t="shared" si="22"/>
        <v>2.6372060986588242E-3</v>
      </c>
      <c r="K50" s="156">
        <f t="shared" si="22"/>
        <v>2.0121627329326354E-2</v>
      </c>
      <c r="L50" s="156">
        <f t="shared" si="22"/>
        <v>4.8013760257197016E-2</v>
      </c>
      <c r="M50" s="156">
        <f t="shared" si="22"/>
        <v>1.4105917029154165E-3</v>
      </c>
      <c r="N50" s="156">
        <f t="shared" si="22"/>
        <v>8.4198731955365327E-3</v>
      </c>
      <c r="O50" s="156">
        <f t="shared" si="22"/>
        <v>3.9294842099272929E-4</v>
      </c>
      <c r="P50" s="156">
        <f t="shared" si="22"/>
        <v>4.2940647999392964E-3</v>
      </c>
      <c r="Q50" s="156">
        <f t="shared" ref="Q50" si="23">Q35*Q$9</f>
        <v>0</v>
      </c>
      <c r="R50" s="156">
        <f t="shared" ref="R50:V50" si="24">R35*R$9</f>
        <v>2.0528961864159975E-3</v>
      </c>
      <c r="S50" s="156">
        <f t="shared" si="24"/>
        <v>3.2985459803296705E-5</v>
      </c>
      <c r="T50" s="156">
        <f t="shared" si="24"/>
        <v>9.0477465860052962E-5</v>
      </c>
      <c r="U50" s="156">
        <f t="shared" si="24"/>
        <v>1.6869425575109076E-4</v>
      </c>
      <c r="V50" s="156">
        <f t="shared" si="24"/>
        <v>1.3548683031402333E-4</v>
      </c>
      <c r="W50" s="156">
        <f t="shared" si="12"/>
        <v>0.15732260823496685</v>
      </c>
    </row>
    <row r="51" spans="1:23" x14ac:dyDescent="0.25">
      <c r="A51" s="17" t="s">
        <v>13</v>
      </c>
      <c r="B51" s="156">
        <f t="shared" ref="B51:P51" si="25">B36*B$9</f>
        <v>1.8997244092360929E-3</v>
      </c>
      <c r="C51" s="156">
        <f t="shared" si="25"/>
        <v>2.8548200192075636E-3</v>
      </c>
      <c r="D51" s="156">
        <f t="shared" si="25"/>
        <v>2.6625212758750959E-3</v>
      </c>
      <c r="E51" s="156">
        <f t="shared" si="25"/>
        <v>7.5170733658107298E-3</v>
      </c>
      <c r="F51" s="156">
        <f t="shared" si="25"/>
        <v>1.2450794917157972E-2</v>
      </c>
      <c r="G51" s="156">
        <f t="shared" si="25"/>
        <v>9.090123272377683E-5</v>
      </c>
      <c r="H51" s="156">
        <f t="shared" si="25"/>
        <v>1.3195496993783695E-2</v>
      </c>
      <c r="I51" s="156">
        <f t="shared" si="25"/>
        <v>4.8293411824246364E-4</v>
      </c>
      <c r="J51" s="156">
        <f t="shared" si="25"/>
        <v>1.6576538958346372E-3</v>
      </c>
      <c r="K51" s="156">
        <f t="shared" si="25"/>
        <v>1.2681669958243486E-2</v>
      </c>
      <c r="L51" s="156">
        <f t="shared" si="25"/>
        <v>2.8439395187586768E-2</v>
      </c>
      <c r="M51" s="156">
        <f t="shared" si="25"/>
        <v>9.0200953020573354E-4</v>
      </c>
      <c r="N51" s="156">
        <f t="shared" si="25"/>
        <v>5.1975458983546056E-3</v>
      </c>
      <c r="O51" s="156">
        <f t="shared" si="25"/>
        <v>2.3860171700721718E-4</v>
      </c>
      <c r="P51" s="156">
        <f t="shared" si="25"/>
        <v>2.7228052236134672E-3</v>
      </c>
      <c r="Q51" s="156">
        <f t="shared" ref="Q51" si="26">Q36*Q$9</f>
        <v>0</v>
      </c>
      <c r="R51" s="156">
        <f t="shared" ref="R51:V51" si="27">R36*R$9</f>
        <v>1.2969922400989352E-3</v>
      </c>
      <c r="S51" s="156">
        <f t="shared" si="27"/>
        <v>2.0048525528080046E-5</v>
      </c>
      <c r="T51" s="156">
        <f t="shared" si="27"/>
        <v>3.5273042902483072E-5</v>
      </c>
      <c r="U51" s="156">
        <f t="shared" si="27"/>
        <v>9.858662895790573E-5</v>
      </c>
      <c r="V51" s="156">
        <f t="shared" si="27"/>
        <v>8.5603445261308225E-5</v>
      </c>
      <c r="W51" s="156">
        <f t="shared" si="12"/>
        <v>9.4530451625632034E-2</v>
      </c>
    </row>
    <row r="52" spans="1:23" x14ac:dyDescent="0.25">
      <c r="A52" s="17" t="s">
        <v>14</v>
      </c>
      <c r="B52" s="156">
        <f t="shared" ref="B52:P52" si="28">B37*B$9</f>
        <v>1.7823096211635318E-3</v>
      </c>
      <c r="C52" s="156">
        <f t="shared" si="28"/>
        <v>2.7514650694578958E-3</v>
      </c>
      <c r="D52" s="156">
        <f t="shared" si="28"/>
        <v>2.5548018270195273E-3</v>
      </c>
      <c r="E52" s="156">
        <f t="shared" si="28"/>
        <v>6.990339922086964E-3</v>
      </c>
      <c r="F52" s="156">
        <f t="shared" si="28"/>
        <v>1.1459910754626422E-2</v>
      </c>
      <c r="G52" s="156">
        <f t="shared" si="28"/>
        <v>8.3545865801089541E-5</v>
      </c>
      <c r="H52" s="156">
        <f t="shared" si="28"/>
        <v>1.2232811661700775E-2</v>
      </c>
      <c r="I52" s="156">
        <f t="shared" si="28"/>
        <v>4.5666558753791988E-4</v>
      </c>
      <c r="J52" s="156">
        <f t="shared" si="28"/>
        <v>1.5564326017979684E-3</v>
      </c>
      <c r="K52" s="156">
        <f t="shared" si="28"/>
        <v>1.1931194075446917E-2</v>
      </c>
      <c r="L52" s="156">
        <f t="shared" si="28"/>
        <v>2.6564356005425289E-2</v>
      </c>
      <c r="M52" s="156">
        <f t="shared" si="28"/>
        <v>8.3111974386584778E-4</v>
      </c>
      <c r="N52" s="156">
        <f t="shared" si="28"/>
        <v>4.9155592125655918E-3</v>
      </c>
      <c r="O52" s="156">
        <f t="shared" si="28"/>
        <v>2.2091916450196164E-4</v>
      </c>
      <c r="P52" s="156">
        <f t="shared" si="28"/>
        <v>2.5590455301649525E-3</v>
      </c>
      <c r="Q52" s="156">
        <f t="shared" ref="Q52" si="29">Q37*Q$9</f>
        <v>0</v>
      </c>
      <c r="R52" s="156">
        <f t="shared" ref="R52:V52" si="30">R37*R$9</f>
        <v>1.216160688949429E-3</v>
      </c>
      <c r="S52" s="156">
        <f t="shared" si="30"/>
        <v>1.8302141272547312E-5</v>
      </c>
      <c r="T52" s="156">
        <f t="shared" si="30"/>
        <v>3.1881605056821772E-5</v>
      </c>
      <c r="U52" s="156">
        <f t="shared" si="30"/>
        <v>9.5198528034815002E-5</v>
      </c>
      <c r="V52" s="156">
        <f t="shared" si="30"/>
        <v>7.8138092872123338E-5</v>
      </c>
      <c r="W52" s="156">
        <f t="shared" si="12"/>
        <v>8.8330157699348391E-2</v>
      </c>
    </row>
    <row r="53" spans="1:23" x14ac:dyDescent="0.25">
      <c r="A53" s="17" t="s">
        <v>15</v>
      </c>
      <c r="B53" s="156">
        <f t="shared" ref="B53:P53" si="31">B38*B$9</f>
        <v>1.5624497796396344E-3</v>
      </c>
      <c r="C53" s="156">
        <f t="shared" si="31"/>
        <v>3.1556318211963261E-3</v>
      </c>
      <c r="D53" s="156">
        <f t="shared" si="31"/>
        <v>2.1686212799590949E-3</v>
      </c>
      <c r="E53" s="156">
        <f t="shared" si="31"/>
        <v>6.073557150217462E-3</v>
      </c>
      <c r="F53" s="156">
        <f t="shared" si="31"/>
        <v>7.8180184398066507E-3</v>
      </c>
      <c r="G53" s="156">
        <f t="shared" si="31"/>
        <v>5.7473634369476E-5</v>
      </c>
      <c r="H53" s="156">
        <f t="shared" si="31"/>
        <v>1.0975548777965905E-2</v>
      </c>
      <c r="I53" s="156">
        <f t="shared" si="31"/>
        <v>4.8636716324299028E-4</v>
      </c>
      <c r="J53" s="156">
        <f t="shared" si="31"/>
        <v>1.4844710098241662E-3</v>
      </c>
      <c r="K53" s="156">
        <f t="shared" si="31"/>
        <v>1.1736198126773257E-2</v>
      </c>
      <c r="L53" s="156">
        <f t="shared" si="31"/>
        <v>2.2119766738096066E-2</v>
      </c>
      <c r="M53" s="156">
        <f t="shared" si="31"/>
        <v>5.9829007466606849E-4</v>
      </c>
      <c r="N53" s="156">
        <f t="shared" si="31"/>
        <v>4.5773467327806438E-3</v>
      </c>
      <c r="O53" s="156">
        <f t="shared" si="31"/>
        <v>1.9438374546416187E-4</v>
      </c>
      <c r="P53" s="156">
        <f t="shared" si="31"/>
        <v>2.510786696395575E-3</v>
      </c>
      <c r="Q53" s="156">
        <f t="shared" ref="Q53" si="32">Q38*Q$9</f>
        <v>0</v>
      </c>
      <c r="R53" s="156">
        <f t="shared" ref="R53:V53" si="33">R38*R$9</f>
        <v>1.0831976299667452E-3</v>
      </c>
      <c r="S53" s="156">
        <f t="shared" si="33"/>
        <v>1.2722432627301089E-5</v>
      </c>
      <c r="T53" s="156">
        <f t="shared" si="33"/>
        <v>2.3300695820218342E-5</v>
      </c>
      <c r="U53" s="156">
        <f t="shared" si="33"/>
        <v>7.752354000246757E-5</v>
      </c>
      <c r="V53" s="156">
        <f t="shared" si="33"/>
        <v>6.4274833258700823E-5</v>
      </c>
      <c r="W53" s="156">
        <f t="shared" si="12"/>
        <v>7.6779930302072905E-2</v>
      </c>
    </row>
    <row r="54" spans="1:23" x14ac:dyDescent="0.25">
      <c r="A54" s="17" t="s">
        <v>16</v>
      </c>
      <c r="B54" s="156">
        <f t="shared" ref="B54:P54" si="34">B39*B$9</f>
        <v>1.2978109058574651E-3</v>
      </c>
      <c r="C54" s="156">
        <f t="shared" si="34"/>
        <v>2.7352408917414297E-3</v>
      </c>
      <c r="D54" s="156">
        <f t="shared" si="34"/>
        <v>1.732432237432096E-3</v>
      </c>
      <c r="E54" s="156">
        <f t="shared" si="34"/>
        <v>4.6389841335926774E-3</v>
      </c>
      <c r="F54" s="156">
        <f t="shared" si="34"/>
        <v>5.4654335878908823E-3</v>
      </c>
      <c r="G54" s="156">
        <f t="shared" si="34"/>
        <v>3.952468867134602E-5</v>
      </c>
      <c r="H54" s="156">
        <f t="shared" si="34"/>
        <v>8.8630663356251416E-3</v>
      </c>
      <c r="I54" s="156">
        <f t="shared" si="34"/>
        <v>4.027429526967431E-4</v>
      </c>
      <c r="J54" s="156">
        <f t="shared" si="34"/>
        <v>1.221349630018981E-3</v>
      </c>
      <c r="K54" s="156">
        <f t="shared" si="34"/>
        <v>9.3395025785100519E-3</v>
      </c>
      <c r="L54" s="156">
        <f t="shared" si="34"/>
        <v>1.6894927492369677E-2</v>
      </c>
      <c r="M54" s="156">
        <f t="shared" si="34"/>
        <v>4.6719327504369851E-4</v>
      </c>
      <c r="N54" s="156">
        <f t="shared" si="34"/>
        <v>3.757905230083616E-3</v>
      </c>
      <c r="O54" s="156">
        <f t="shared" si="34"/>
        <v>1.5312656360885342E-4</v>
      </c>
      <c r="P54" s="156">
        <f t="shared" si="34"/>
        <v>2.0604104628650101E-3</v>
      </c>
      <c r="Q54" s="156">
        <f t="shared" ref="Q54" si="35">Q39*Q$9</f>
        <v>0</v>
      </c>
      <c r="R54" s="156">
        <f t="shared" ref="R54:V54" si="36">R39*R$9</f>
        <v>8.4259628085978956E-4</v>
      </c>
      <c r="S54" s="156">
        <f t="shared" si="36"/>
        <v>1.0366437163777507E-5</v>
      </c>
      <c r="T54" s="156">
        <f t="shared" si="36"/>
        <v>1.8996722152703988E-5</v>
      </c>
      <c r="U54" s="156">
        <f t="shared" si="36"/>
        <v>6.4456843085792484E-5</v>
      </c>
      <c r="V54" s="156">
        <f t="shared" si="36"/>
        <v>5.0349469980727806E-5</v>
      </c>
      <c r="W54" s="156">
        <f t="shared" si="12"/>
        <v>6.0056416719250452E-2</v>
      </c>
    </row>
  </sheetData>
  <mergeCells count="89">
    <mergeCell ref="V42:V43"/>
    <mergeCell ref="Q42:Q43"/>
    <mergeCell ref="R42:R43"/>
    <mergeCell ref="S42:S43"/>
    <mergeCell ref="T42:T43"/>
    <mergeCell ref="U42:U43"/>
    <mergeCell ref="V27:V28"/>
    <mergeCell ref="B42:B43"/>
    <mergeCell ref="C42:C43"/>
    <mergeCell ref="D42:D43"/>
    <mergeCell ref="E42:E43"/>
    <mergeCell ref="F42:F43"/>
    <mergeCell ref="G42:G43"/>
    <mergeCell ref="H42:H43"/>
    <mergeCell ref="I42:I43"/>
    <mergeCell ref="J42:J43"/>
    <mergeCell ref="K42:K43"/>
    <mergeCell ref="L42:L43"/>
    <mergeCell ref="M42:M43"/>
    <mergeCell ref="N42:N43"/>
    <mergeCell ref="O42:O43"/>
    <mergeCell ref="P42:P43"/>
    <mergeCell ref="B27:B28"/>
    <mergeCell ref="C27:C28"/>
    <mergeCell ref="D27:D28"/>
    <mergeCell ref="E27:E28"/>
    <mergeCell ref="F27:F28"/>
    <mergeCell ref="G27:G28"/>
    <mergeCell ref="H27:H28"/>
    <mergeCell ref="I27:I28"/>
    <mergeCell ref="J27:J28"/>
    <mergeCell ref="K27:K28"/>
    <mergeCell ref="L27:L28"/>
    <mergeCell ref="M27:M28"/>
    <mergeCell ref="N27:N28"/>
    <mergeCell ref="O27:O28"/>
    <mergeCell ref="P27:P28"/>
    <mergeCell ref="Q27:Q28"/>
    <mergeCell ref="R27:R28"/>
    <mergeCell ref="S27:S28"/>
    <mergeCell ref="T27:T28"/>
    <mergeCell ref="U27:U28"/>
    <mergeCell ref="H6:H7"/>
    <mergeCell ref="I6:I7"/>
    <mergeCell ref="V6:V7"/>
    <mergeCell ref="P6:P7"/>
    <mergeCell ref="Q6:Q7"/>
    <mergeCell ref="R6:R7"/>
    <mergeCell ref="S6:S7"/>
    <mergeCell ref="T6:T7"/>
    <mergeCell ref="U6:U7"/>
    <mergeCell ref="J6:J7"/>
    <mergeCell ref="K6:K7"/>
    <mergeCell ref="L6:L7"/>
    <mergeCell ref="M6:M7"/>
    <mergeCell ref="N6:N7"/>
    <mergeCell ref="O6:O7"/>
    <mergeCell ref="T12:T13"/>
    <mergeCell ref="D12:D13"/>
    <mergeCell ref="U12:U13"/>
    <mergeCell ref="V12:V13"/>
    <mergeCell ref="C12:C13"/>
    <mergeCell ref="O12:O13"/>
    <mergeCell ref="P12:P13"/>
    <mergeCell ref="Q12:Q13"/>
    <mergeCell ref="R12:R13"/>
    <mergeCell ref="S12:S13"/>
    <mergeCell ref="J12:J13"/>
    <mergeCell ref="K12:K13"/>
    <mergeCell ref="L12:L13"/>
    <mergeCell ref="M12:M13"/>
    <mergeCell ref="N12:N13"/>
    <mergeCell ref="E12:E13"/>
    <mergeCell ref="A42:A44"/>
    <mergeCell ref="A3:J3"/>
    <mergeCell ref="A27:A29"/>
    <mergeCell ref="A12:A14"/>
    <mergeCell ref="B12:B13"/>
    <mergeCell ref="F12:F13"/>
    <mergeCell ref="G12:G13"/>
    <mergeCell ref="H12:H13"/>
    <mergeCell ref="I12:I13"/>
    <mergeCell ref="A6:A8"/>
    <mergeCell ref="B6:B7"/>
    <mergeCell ref="C6:C7"/>
    <mergeCell ref="D6:D7"/>
    <mergeCell ref="E6:E7"/>
    <mergeCell ref="F6:F7"/>
    <mergeCell ref="G6:G7"/>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ColWidth="8.875" defaultRowHeight="14.25" x14ac:dyDescent="0.2"/>
  <sheetData>
    <row r="1" spans="1:1" s="9" customFormat="1" ht="18" x14ac:dyDescent="0.25">
      <c r="A1" s="112" t="s">
        <v>82</v>
      </c>
    </row>
  </sheetData>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8"/>
  <sheetViews>
    <sheetView workbookViewId="0"/>
  </sheetViews>
  <sheetFormatPr defaultColWidth="8.875" defaultRowHeight="14.25" x14ac:dyDescent="0.2"/>
  <cols>
    <col min="5" max="5" width="10" customWidth="1"/>
    <col min="6" max="8" width="11.125" bestFit="1" customWidth="1"/>
    <col min="10" max="10" width="10.125" customWidth="1"/>
    <col min="11" max="11" width="10" customWidth="1"/>
    <col min="12" max="12" width="10.125" customWidth="1"/>
  </cols>
  <sheetData>
    <row r="1" spans="1:12" ht="18" x14ac:dyDescent="0.25">
      <c r="A1" s="25" t="s">
        <v>100</v>
      </c>
      <c r="B1" s="16"/>
      <c r="C1" s="16"/>
      <c r="D1" s="16"/>
      <c r="F1" s="16"/>
      <c r="G1" s="16"/>
      <c r="H1" s="16"/>
      <c r="I1" s="16"/>
      <c r="J1" s="16"/>
      <c r="K1" s="16"/>
      <c r="L1" s="16"/>
    </row>
    <row r="2" spans="1:12" ht="15.75" x14ac:dyDescent="0.25">
      <c r="A2" s="16"/>
      <c r="B2" s="16"/>
      <c r="C2" s="16"/>
      <c r="D2" s="16"/>
      <c r="E2" s="16"/>
      <c r="F2" s="16"/>
      <c r="G2" s="16"/>
      <c r="H2" s="16"/>
      <c r="I2" s="16"/>
      <c r="J2" s="16"/>
      <c r="K2" s="16"/>
      <c r="L2" s="16"/>
    </row>
    <row r="3" spans="1:12" ht="40.5" customHeight="1" x14ac:dyDescent="0.25">
      <c r="A3" s="27" t="s">
        <v>51</v>
      </c>
      <c r="B3" s="16"/>
      <c r="C3" s="16"/>
      <c r="D3" s="16"/>
      <c r="E3" s="164" t="s">
        <v>101</v>
      </c>
      <c r="F3" s="164"/>
      <c r="G3" s="164"/>
      <c r="H3" s="164"/>
      <c r="I3" s="16"/>
      <c r="J3" s="164" t="s">
        <v>81</v>
      </c>
      <c r="K3" s="164"/>
      <c r="L3" s="164"/>
    </row>
    <row r="4" spans="1:12" ht="15.75" x14ac:dyDescent="0.25">
      <c r="A4" s="16"/>
      <c r="B4" s="16"/>
      <c r="C4" s="16"/>
      <c r="D4" s="16"/>
      <c r="E4" s="16"/>
      <c r="F4" s="16"/>
      <c r="G4" s="16"/>
      <c r="H4" s="16"/>
      <c r="I4" s="16"/>
      <c r="J4" s="16"/>
      <c r="K4" s="16"/>
      <c r="L4" s="16"/>
    </row>
    <row r="5" spans="1:12" ht="15.75" x14ac:dyDescent="0.25">
      <c r="A5" s="16"/>
      <c r="B5" s="16"/>
      <c r="C5" s="16"/>
      <c r="D5" s="16"/>
      <c r="E5" s="28" t="s">
        <v>52</v>
      </c>
      <c r="F5" s="16"/>
      <c r="G5" s="16"/>
      <c r="H5" s="16"/>
      <c r="I5" s="16"/>
      <c r="J5" s="16"/>
      <c r="K5" s="16"/>
      <c r="L5" s="16"/>
    </row>
    <row r="6" spans="1:12" ht="25.5" x14ac:dyDescent="0.25">
      <c r="A6" s="17" t="s">
        <v>6</v>
      </c>
      <c r="B6" s="29" t="s">
        <v>27</v>
      </c>
      <c r="C6" s="29" t="s">
        <v>80</v>
      </c>
      <c r="D6" s="16"/>
      <c r="E6" s="29" t="s">
        <v>6</v>
      </c>
      <c r="F6" s="29" t="s">
        <v>53</v>
      </c>
      <c r="G6" s="29" t="s">
        <v>54</v>
      </c>
      <c r="H6" s="30" t="s">
        <v>55</v>
      </c>
      <c r="I6" s="16"/>
      <c r="J6" s="31" t="s">
        <v>56</v>
      </c>
      <c r="K6" s="29" t="s">
        <v>57</v>
      </c>
      <c r="L6" s="30" t="s">
        <v>58</v>
      </c>
    </row>
    <row r="7" spans="1:12" ht="15.75" x14ac:dyDescent="0.25">
      <c r="A7" s="17" t="s">
        <v>7</v>
      </c>
      <c r="B7" s="132">
        <v>7.1638401972697899E-2</v>
      </c>
      <c r="C7" s="133">
        <v>65.953454828519668</v>
      </c>
      <c r="D7" s="108"/>
      <c r="E7" s="32" t="s">
        <v>7</v>
      </c>
      <c r="F7" s="129">
        <v>7558.2768925443179</v>
      </c>
      <c r="G7" s="129">
        <v>8000.8050776352366</v>
      </c>
      <c r="H7" s="129">
        <v>8177.8163516716031</v>
      </c>
      <c r="I7" s="16"/>
      <c r="J7" s="33">
        <f t="shared" ref="J7:J16" si="0">IF(L7="",K7,L7)</f>
        <v>8.556267654520805E-2</v>
      </c>
      <c r="K7" s="34">
        <f>'HOC Calcs'!W45</f>
        <v>8.556267654520805E-2</v>
      </c>
      <c r="L7" s="35"/>
    </row>
    <row r="8" spans="1:12" ht="15.75" x14ac:dyDescent="0.25">
      <c r="A8" s="17" t="s">
        <v>8</v>
      </c>
      <c r="B8" s="132">
        <v>0.11455164516609564</v>
      </c>
      <c r="C8" s="133">
        <v>70.344928147144799</v>
      </c>
      <c r="D8" s="108"/>
      <c r="E8" s="32" t="s">
        <v>8</v>
      </c>
      <c r="F8" s="129">
        <v>11932.345615441003</v>
      </c>
      <c r="G8" s="129">
        <v>12479.428245805095</v>
      </c>
      <c r="H8" s="129">
        <v>12588.844771877913</v>
      </c>
      <c r="I8" s="16"/>
      <c r="J8" s="33">
        <f t="shared" si="0"/>
        <v>0.11848718455580953</v>
      </c>
      <c r="K8" s="34">
        <f>'HOC Calcs'!W46</f>
        <v>0.11848718455580953</v>
      </c>
      <c r="L8" s="35"/>
    </row>
    <row r="9" spans="1:12" ht="15.75" x14ac:dyDescent="0.25">
      <c r="A9" s="17" t="s">
        <v>9</v>
      </c>
      <c r="B9" s="132">
        <v>0.11714368443535396</v>
      </c>
      <c r="C9" s="133">
        <v>72.213544204351976</v>
      </c>
      <c r="D9" s="108"/>
      <c r="E9" s="32" t="s">
        <v>9</v>
      </c>
      <c r="F9" s="129">
        <v>12037.629549845075</v>
      </c>
      <c r="G9" s="129">
        <v>12737.379633513763</v>
      </c>
      <c r="H9" s="129">
        <v>12737.379633513763</v>
      </c>
      <c r="I9" s="16"/>
      <c r="J9" s="33">
        <f t="shared" si="0"/>
        <v>0.12388977943018417</v>
      </c>
      <c r="K9" s="34">
        <f>'HOC Calcs'!W47</f>
        <v>0.12388977943018417</v>
      </c>
      <c r="L9" s="35"/>
    </row>
    <row r="10" spans="1:12" ht="15.75" x14ac:dyDescent="0.25">
      <c r="A10" s="17" t="s">
        <v>10</v>
      </c>
      <c r="B10" s="132">
        <v>0.11208830589280425</v>
      </c>
      <c r="C10" s="133">
        <v>75.597859352178702</v>
      </c>
      <c r="D10" s="108"/>
      <c r="E10" s="32" t="s">
        <v>10</v>
      </c>
      <c r="F10" s="129">
        <v>9139.6416266082615</v>
      </c>
      <c r="G10" s="129">
        <v>9521.6347867652621</v>
      </c>
      <c r="H10" s="129">
        <v>9521.6347867652621</v>
      </c>
      <c r="I10" s="16"/>
      <c r="J10" s="33">
        <f t="shared" si="0"/>
        <v>0.10117915006548314</v>
      </c>
      <c r="K10" s="34">
        <f>'HOC Calcs'!W48</f>
        <v>0.10117915006548314</v>
      </c>
      <c r="L10" s="35"/>
    </row>
    <row r="11" spans="1:12" ht="15.75" x14ac:dyDescent="0.25">
      <c r="A11" s="17" t="s">
        <v>11</v>
      </c>
      <c r="B11" s="132">
        <v>0.11762870230290486</v>
      </c>
      <c r="C11" s="133">
        <v>77.323143845980766</v>
      </c>
      <c r="D11" s="108"/>
      <c r="E11" s="32" t="s">
        <v>11</v>
      </c>
      <c r="F11" s="129">
        <v>7937.1861895878792</v>
      </c>
      <c r="G11" s="129">
        <v>8354.2882605300601</v>
      </c>
      <c r="H11" s="129">
        <v>8354.2882605300601</v>
      </c>
      <c r="I11" s="16"/>
      <c r="J11" s="33">
        <f t="shared" si="0"/>
        <v>9.3866795022044522E-2</v>
      </c>
      <c r="K11" s="34">
        <f>'HOC Calcs'!W49</f>
        <v>9.3866795022044522E-2</v>
      </c>
      <c r="L11" s="35"/>
    </row>
    <row r="12" spans="1:12" ht="15.75" x14ac:dyDescent="0.25">
      <c r="A12" s="17" t="s">
        <v>12</v>
      </c>
      <c r="B12" s="132">
        <v>0.13172031147751195</v>
      </c>
      <c r="C12" s="133">
        <v>61.925213745047813</v>
      </c>
      <c r="D12" s="108"/>
      <c r="E12" s="32" t="s">
        <v>12</v>
      </c>
      <c r="F12" s="129">
        <v>17770.877225655087</v>
      </c>
      <c r="G12" s="129">
        <v>18928.424576392146</v>
      </c>
      <c r="H12" s="129">
        <v>19507.19825176067</v>
      </c>
      <c r="I12" s="16"/>
      <c r="J12" s="33">
        <f t="shared" si="0"/>
        <v>0.15732260823496685</v>
      </c>
      <c r="K12" s="34">
        <f>'HOC Calcs'!W50</f>
        <v>0.15732260823496685</v>
      </c>
      <c r="L12" s="35"/>
    </row>
    <row r="13" spans="1:12" ht="15.75" x14ac:dyDescent="0.25">
      <c r="A13" s="17" t="s">
        <v>13</v>
      </c>
      <c r="B13" s="132">
        <v>9.1390603546890825E-2</v>
      </c>
      <c r="C13" s="133">
        <v>66.81695247332172</v>
      </c>
      <c r="D13" s="108"/>
      <c r="E13" s="32" t="s">
        <v>13</v>
      </c>
      <c r="F13" s="129">
        <v>11668.465142049066</v>
      </c>
      <c r="G13" s="129">
        <v>12264.228660485651</v>
      </c>
      <c r="H13" s="129">
        <v>12442.957716016628</v>
      </c>
      <c r="I13" s="16"/>
      <c r="J13" s="33">
        <f t="shared" si="0"/>
        <v>9.4530451625632034E-2</v>
      </c>
      <c r="K13" s="34">
        <f>'HOC Calcs'!W51</f>
        <v>9.4530451625632034E-2</v>
      </c>
      <c r="L13" s="35"/>
    </row>
    <row r="14" spans="1:12" ht="15.75" x14ac:dyDescent="0.25">
      <c r="A14" s="17" t="s">
        <v>14</v>
      </c>
      <c r="B14" s="132">
        <v>8.3520398858892606E-2</v>
      </c>
      <c r="C14" s="133">
        <v>68.975036101886801</v>
      </c>
      <c r="D14" s="108"/>
      <c r="E14" s="32" t="s">
        <v>14</v>
      </c>
      <c r="F14" s="129">
        <v>9584.281801736026</v>
      </c>
      <c r="G14" s="129">
        <v>10123.805891784908</v>
      </c>
      <c r="H14" s="129">
        <v>10177.758300789799</v>
      </c>
      <c r="I14" s="16"/>
      <c r="J14" s="33">
        <f t="shared" si="0"/>
        <v>8.8330157699348391E-2</v>
      </c>
      <c r="K14" s="34">
        <f>'HOC Calcs'!W52</f>
        <v>8.8330157699348391E-2</v>
      </c>
      <c r="L14" s="35"/>
    </row>
    <row r="15" spans="1:12" ht="15.75" x14ac:dyDescent="0.25">
      <c r="A15" s="17" t="s">
        <v>15</v>
      </c>
      <c r="B15" s="132">
        <v>8.5058429852449879E-2</v>
      </c>
      <c r="C15" s="133">
        <v>72.648214965877315</v>
      </c>
      <c r="D15" s="108"/>
      <c r="E15" s="32" t="s">
        <v>15</v>
      </c>
      <c r="F15" s="129">
        <v>7935.0351697036358</v>
      </c>
      <c r="G15" s="129">
        <v>8296.8172406519079</v>
      </c>
      <c r="H15" s="129">
        <v>8296.8172406519079</v>
      </c>
      <c r="I15" s="16"/>
      <c r="J15" s="33">
        <f t="shared" si="0"/>
        <v>7.6779930302072905E-2</v>
      </c>
      <c r="K15" s="34">
        <f>'HOC Calcs'!W53</f>
        <v>7.6779930302072905E-2</v>
      </c>
      <c r="L15" s="35"/>
    </row>
    <row r="16" spans="1:12" ht="15.75" x14ac:dyDescent="0.25">
      <c r="A16" s="17" t="s">
        <v>16</v>
      </c>
      <c r="B16" s="132">
        <v>7.5259516494398118E-2</v>
      </c>
      <c r="C16" s="133">
        <v>74.561155997724143</v>
      </c>
      <c r="D16" s="108"/>
      <c r="E16" s="36" t="s">
        <v>16</v>
      </c>
      <c r="F16" s="129">
        <v>5472.4548179183885</v>
      </c>
      <c r="G16" s="129">
        <v>5754.4901531306805</v>
      </c>
      <c r="H16" s="129">
        <v>5754.4901531306805</v>
      </c>
      <c r="I16" s="16"/>
      <c r="J16" s="37">
        <f t="shared" si="0"/>
        <v>6.0056416719250452E-2</v>
      </c>
      <c r="K16" s="38">
        <f>'HOC Calcs'!W54</f>
        <v>6.0056416719250452E-2</v>
      </c>
      <c r="L16" s="39"/>
    </row>
    <row r="17" spans="1:12" ht="15.75" x14ac:dyDescent="0.25">
      <c r="A17" s="16"/>
      <c r="B17" s="16"/>
      <c r="C17" s="16"/>
      <c r="D17" s="16"/>
      <c r="E17" s="40" t="s">
        <v>60</v>
      </c>
      <c r="F17" s="130">
        <v>-313330260.97668034</v>
      </c>
      <c r="G17" s="130">
        <v>-309705409.91221857</v>
      </c>
      <c r="H17" s="131">
        <v>-292943149.25381309</v>
      </c>
      <c r="I17" s="16"/>
      <c r="J17" s="41"/>
      <c r="K17" s="42"/>
      <c r="L17" s="41"/>
    </row>
    <row r="18" spans="1:12" ht="15.75" x14ac:dyDescent="0.25">
      <c r="A18" s="16"/>
      <c r="B18" s="16"/>
      <c r="C18" s="16"/>
      <c r="D18" s="16"/>
      <c r="E18" s="16"/>
      <c r="F18" s="16"/>
      <c r="G18" s="16"/>
      <c r="H18" s="16"/>
      <c r="I18" s="16"/>
      <c r="J18" s="41"/>
      <c r="K18" s="41"/>
      <c r="L18" s="41"/>
    </row>
    <row r="19" spans="1:12" ht="15.75" x14ac:dyDescent="0.25">
      <c r="A19" s="16"/>
      <c r="B19" s="16"/>
      <c r="C19" s="16"/>
      <c r="D19" s="16"/>
      <c r="E19" s="28" t="s">
        <v>61</v>
      </c>
      <c r="F19" s="16"/>
      <c r="G19" s="16"/>
      <c r="H19" s="16"/>
      <c r="I19" s="16"/>
      <c r="J19" s="41"/>
      <c r="K19" s="41"/>
      <c r="L19" s="41"/>
    </row>
    <row r="20" spans="1:12" ht="25.5" x14ac:dyDescent="0.25">
      <c r="A20" s="29" t="s">
        <v>62</v>
      </c>
      <c r="B20" s="29" t="s">
        <v>59</v>
      </c>
      <c r="C20" s="29" t="s">
        <v>80</v>
      </c>
      <c r="D20" s="16"/>
      <c r="E20" s="29" t="s">
        <v>20</v>
      </c>
      <c r="F20" s="29" t="s">
        <v>53</v>
      </c>
      <c r="G20" s="29" t="s">
        <v>54</v>
      </c>
      <c r="H20" s="30" t="s">
        <v>55</v>
      </c>
      <c r="I20" s="16"/>
      <c r="J20" s="31" t="s">
        <v>56</v>
      </c>
      <c r="K20" s="29" t="s">
        <v>57</v>
      </c>
      <c r="L20" s="30" t="s">
        <v>58</v>
      </c>
    </row>
    <row r="21" spans="1:12" ht="15.75" x14ac:dyDescent="0.25">
      <c r="A21" s="32" t="s">
        <v>4</v>
      </c>
      <c r="B21" s="134">
        <v>0.20335871345020987</v>
      </c>
      <c r="C21" s="133">
        <v>63.34426655613548</v>
      </c>
      <c r="D21" s="44"/>
      <c r="E21" s="32" t="s">
        <v>4</v>
      </c>
      <c r="F21" s="129">
        <v>25329.154118199403</v>
      </c>
      <c r="G21" s="129">
        <v>26929.229654027382</v>
      </c>
      <c r="H21" s="129">
        <v>27685.014603432275</v>
      </c>
      <c r="I21" s="16"/>
      <c r="J21" s="33">
        <f>IF(L21="",K21,L21)</f>
        <v>0.2428852847801749</v>
      </c>
      <c r="K21" s="34">
        <f>K7+K12</f>
        <v>0.2428852847801749</v>
      </c>
      <c r="L21" s="43" t="str">
        <f>IF(AND(L7="",L12=""),"",L7+L12)</f>
        <v/>
      </c>
    </row>
    <row r="22" spans="1:12" ht="15.75" x14ac:dyDescent="0.25">
      <c r="A22" s="32" t="s">
        <v>0</v>
      </c>
      <c r="B22" s="134">
        <v>0.20594224871298647</v>
      </c>
      <c r="C22" s="133">
        <v>68.779325031978331</v>
      </c>
      <c r="D22" s="16"/>
      <c r="E22" s="32" t="s">
        <v>0</v>
      </c>
      <c r="F22" s="129">
        <v>23600.810757490071</v>
      </c>
      <c r="G22" s="129">
        <v>24743.656906290744</v>
      </c>
      <c r="H22" s="129">
        <v>25031.802487894543</v>
      </c>
      <c r="I22" s="16"/>
      <c r="J22" s="33">
        <f>IF(L22="",K22,L22)</f>
        <v>0.21301763618144157</v>
      </c>
      <c r="K22" s="34">
        <f>K8+K13</f>
        <v>0.21301763618144157</v>
      </c>
      <c r="L22" s="43" t="str">
        <f>IF(AND(L8="",L13=""),"",L8+L13)</f>
        <v/>
      </c>
    </row>
    <row r="23" spans="1:12" ht="15.75" x14ac:dyDescent="0.25">
      <c r="A23" s="32" t="s">
        <v>1</v>
      </c>
      <c r="B23" s="134">
        <v>0.20066408329424656</v>
      </c>
      <c r="C23" s="133">
        <v>70.865612456999756</v>
      </c>
      <c r="D23" s="16"/>
      <c r="E23" s="32" t="s">
        <v>1</v>
      </c>
      <c r="F23" s="129">
        <v>21621.9113515811</v>
      </c>
      <c r="G23" s="129">
        <v>22861.185525298672</v>
      </c>
      <c r="H23" s="129">
        <v>22915.137934303562</v>
      </c>
      <c r="I23" s="44"/>
      <c r="J23" s="33">
        <f>IF(L23="",K23,L23)</f>
        <v>0.21221993712953258</v>
      </c>
      <c r="K23" s="34">
        <f>K9+K14</f>
        <v>0.21221993712953258</v>
      </c>
      <c r="L23" s="43" t="str">
        <f>IF(AND(L9="",L14=""),"",L9+L14)</f>
        <v/>
      </c>
    </row>
    <row r="24" spans="1:12" ht="15.75" x14ac:dyDescent="0.25">
      <c r="A24" s="32" t="s">
        <v>2</v>
      </c>
      <c r="B24" s="134">
        <v>0.19714673574525413</v>
      </c>
      <c r="C24" s="133">
        <v>74.325243200694047</v>
      </c>
      <c r="D24" s="16"/>
      <c r="E24" s="32" t="s">
        <v>2</v>
      </c>
      <c r="F24" s="129">
        <v>17074.676796311898</v>
      </c>
      <c r="G24" s="129">
        <v>17818.45202741717</v>
      </c>
      <c r="H24" s="129">
        <v>17818.45202741717</v>
      </c>
      <c r="I24" s="16"/>
      <c r="J24" s="33">
        <f>IF(L24="",K24,L24)</f>
        <v>0.17795908036755603</v>
      </c>
      <c r="K24" s="34">
        <f>K10+K15</f>
        <v>0.17795908036755603</v>
      </c>
      <c r="L24" s="43" t="str">
        <f>IF(AND(L10="",L15=""),"",L10+L15)</f>
        <v/>
      </c>
    </row>
    <row r="25" spans="1:12" ht="15.75" x14ac:dyDescent="0.25">
      <c r="A25" s="36" t="s">
        <v>3</v>
      </c>
      <c r="B25" s="134">
        <v>0.19288821879730297</v>
      </c>
      <c r="C25" s="133">
        <v>76.245494462730292</v>
      </c>
      <c r="D25" s="16"/>
      <c r="E25" s="36" t="s">
        <v>3</v>
      </c>
      <c r="F25" s="129">
        <v>13409.641007506267</v>
      </c>
      <c r="G25" s="129">
        <v>14108.778413660741</v>
      </c>
      <c r="H25" s="129">
        <v>14108.778413660741</v>
      </c>
      <c r="I25" s="16"/>
      <c r="J25" s="37">
        <f>IF(L25="",K25,L25)</f>
        <v>0.15392321174129497</v>
      </c>
      <c r="K25" s="38">
        <f>K11+K16</f>
        <v>0.15392321174129497</v>
      </c>
      <c r="L25" s="45" t="str">
        <f>IF(AND(L11="",L16=""),"",L11+L16)</f>
        <v/>
      </c>
    </row>
    <row r="26" spans="1:12" ht="15.75" x14ac:dyDescent="0.25">
      <c r="A26" s="16"/>
      <c r="B26" s="16"/>
      <c r="C26" s="16"/>
      <c r="D26" s="16"/>
      <c r="E26" s="40" t="s">
        <v>60</v>
      </c>
      <c r="F26" s="130">
        <v>-313330260.97668034</v>
      </c>
      <c r="G26" s="130">
        <v>-309705409.91221857</v>
      </c>
      <c r="H26" s="130">
        <v>-292943149.25381309</v>
      </c>
      <c r="I26" s="16"/>
      <c r="J26" s="16"/>
      <c r="K26" s="16"/>
      <c r="L26" s="16"/>
    </row>
    <row r="27" spans="1:12" ht="15.75" x14ac:dyDescent="0.25">
      <c r="A27" s="16"/>
      <c r="B27" s="16"/>
      <c r="C27" s="16"/>
      <c r="D27" s="16"/>
      <c r="E27" s="16"/>
      <c r="F27" s="16"/>
      <c r="G27" s="16"/>
      <c r="H27" s="16"/>
      <c r="I27" s="16"/>
      <c r="J27" s="16"/>
      <c r="K27" s="16"/>
      <c r="L27" s="16"/>
    </row>
    <row r="28" spans="1:12" ht="45.75" customHeight="1" x14ac:dyDescent="0.25">
      <c r="A28" s="16"/>
      <c r="B28" s="16"/>
      <c r="C28" s="16"/>
      <c r="D28" s="16"/>
      <c r="E28" s="163" t="s">
        <v>83</v>
      </c>
      <c r="F28" s="163"/>
      <c r="G28" s="163"/>
      <c r="H28" s="163"/>
      <c r="I28" s="16"/>
      <c r="J28" s="16"/>
      <c r="K28" s="16"/>
      <c r="L28" s="16"/>
    </row>
  </sheetData>
  <mergeCells count="3">
    <mergeCell ref="E28:H28"/>
    <mergeCell ref="E3:H3"/>
    <mergeCell ref="J3:L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31"/>
  <sheetViews>
    <sheetView zoomScaleNormal="100" workbookViewId="0"/>
  </sheetViews>
  <sheetFormatPr defaultColWidth="11" defaultRowHeight="15.75" x14ac:dyDescent="0.25"/>
  <cols>
    <col min="1" max="1" width="14.875" style="16" customWidth="1"/>
    <col min="2" max="2" width="11.875" style="16" customWidth="1"/>
    <col min="3" max="3" width="15.125" style="16" customWidth="1"/>
    <col min="4" max="4" width="13" style="16" customWidth="1"/>
    <col min="5" max="5" width="6.5" style="16" customWidth="1"/>
    <col min="6" max="6" width="12.125" style="16" customWidth="1"/>
    <col min="7" max="7" width="11.125" style="16" customWidth="1"/>
    <col min="8" max="9" width="10.375" style="16" customWidth="1"/>
    <col min="10" max="10" width="5.5" style="16" customWidth="1"/>
    <col min="11" max="11" width="11.125" style="16" customWidth="1"/>
    <col min="12" max="12" width="10.625" style="16" customWidth="1"/>
    <col min="13" max="13" width="12.625" style="26" customWidth="1"/>
    <col min="14" max="14" width="13.875" style="26" customWidth="1"/>
    <col min="15" max="15" width="16.625" style="26" customWidth="1"/>
    <col min="16" max="16" width="12.625" style="16" customWidth="1"/>
    <col min="17" max="16384" width="11" style="16"/>
  </cols>
  <sheetData>
    <row r="1" spans="1:14" ht="18" x14ac:dyDescent="0.25">
      <c r="A1" s="25" t="s">
        <v>102</v>
      </c>
    </row>
    <row r="3" spans="1:14" ht="31.5" customHeight="1" x14ac:dyDescent="0.25">
      <c r="A3" s="165" t="s">
        <v>103</v>
      </c>
      <c r="B3" s="165"/>
      <c r="C3" s="165"/>
      <c r="D3" s="165"/>
      <c r="F3" s="15" t="s">
        <v>86</v>
      </c>
      <c r="K3" s="15" t="s">
        <v>87</v>
      </c>
      <c r="L3" s="26"/>
    </row>
    <row r="4" spans="1:14" x14ac:dyDescent="0.25">
      <c r="L4" s="26"/>
    </row>
    <row r="5" spans="1:14" x14ac:dyDescent="0.25">
      <c r="A5" s="28" t="s">
        <v>52</v>
      </c>
      <c r="B5" s="46"/>
      <c r="L5" s="26"/>
    </row>
    <row r="6" spans="1:14" ht="38.25" x14ac:dyDescent="0.25">
      <c r="A6" s="119" t="s">
        <v>6</v>
      </c>
      <c r="B6" s="109" t="s">
        <v>64</v>
      </c>
      <c r="C6" s="109" t="s">
        <v>65</v>
      </c>
      <c r="D6" s="110" t="s">
        <v>66</v>
      </c>
      <c r="E6" s="47"/>
      <c r="F6" s="31" t="s">
        <v>6</v>
      </c>
      <c r="G6" s="109" t="s">
        <v>64</v>
      </c>
      <c r="H6" s="109" t="s">
        <v>65</v>
      </c>
      <c r="I6" s="109" t="s">
        <v>66</v>
      </c>
      <c r="J6" s="41"/>
      <c r="K6" s="31" t="s">
        <v>6</v>
      </c>
      <c r="L6" s="29" t="s">
        <v>64</v>
      </c>
      <c r="M6" s="29" t="s">
        <v>65</v>
      </c>
      <c r="N6" s="30" t="s">
        <v>66</v>
      </c>
    </row>
    <row r="7" spans="1:14" x14ac:dyDescent="0.25">
      <c r="A7" s="48" t="s">
        <v>7</v>
      </c>
      <c r="B7" s="49">
        <f>Outputs!G7-Outputs!F7</f>
        <v>442.52818509091867</v>
      </c>
      <c r="C7" s="50"/>
      <c r="D7" s="51"/>
      <c r="E7" s="47"/>
      <c r="F7" s="52" t="s">
        <v>7</v>
      </c>
      <c r="G7" s="49">
        <f>B$18*Outputs!$J7</f>
        <v>23.857843011776563</v>
      </c>
      <c r="H7" s="50"/>
      <c r="I7" s="51"/>
      <c r="J7" s="41"/>
      <c r="K7" s="48" t="s">
        <v>7</v>
      </c>
      <c r="L7" s="49">
        <f t="shared" ref="L7:L16" si="0">B7-G7</f>
        <v>418.67034207914213</v>
      </c>
      <c r="M7" s="50"/>
      <c r="N7" s="51"/>
    </row>
    <row r="8" spans="1:14" x14ac:dyDescent="0.25">
      <c r="A8" s="48" t="s">
        <v>8</v>
      </c>
      <c r="B8" s="49">
        <f>Outputs!G8-Outputs!F8</f>
        <v>547.08263036409153</v>
      </c>
      <c r="C8" s="50"/>
      <c r="D8" s="51"/>
      <c r="E8" s="47"/>
      <c r="F8" s="52" t="s">
        <v>8</v>
      </c>
      <c r="G8" s="49">
        <f>B$18*Outputs!$J8</f>
        <v>33.038338235554164</v>
      </c>
      <c r="H8" s="50"/>
      <c r="I8" s="51"/>
      <c r="J8" s="41"/>
      <c r="K8" s="48" t="s">
        <v>8</v>
      </c>
      <c r="L8" s="49">
        <f t="shared" si="0"/>
        <v>514.04429212853734</v>
      </c>
      <c r="M8" s="50"/>
      <c r="N8" s="51"/>
    </row>
    <row r="9" spans="1:14" x14ac:dyDescent="0.25">
      <c r="A9" s="48" t="s">
        <v>9</v>
      </c>
      <c r="B9" s="49">
        <f>Outputs!G9-Outputs!F9</f>
        <v>699.7500836686886</v>
      </c>
      <c r="C9" s="50"/>
      <c r="D9" s="51"/>
      <c r="E9" s="47"/>
      <c r="F9" s="52" t="s">
        <v>9</v>
      </c>
      <c r="G9" s="49">
        <f>B$18*Outputs!$J9</f>
        <v>34.544769141802824</v>
      </c>
      <c r="H9" s="50"/>
      <c r="I9" s="51"/>
      <c r="J9" s="41"/>
      <c r="K9" s="48" t="s">
        <v>9</v>
      </c>
      <c r="L9" s="49">
        <f t="shared" si="0"/>
        <v>665.20531452688579</v>
      </c>
      <c r="M9" s="50"/>
      <c r="N9" s="51"/>
    </row>
    <row r="10" spans="1:14" x14ac:dyDescent="0.25">
      <c r="A10" s="48" t="s">
        <v>10</v>
      </c>
      <c r="B10" s="49">
        <f>Outputs!G10-Outputs!F10</f>
        <v>381.9931601570006</v>
      </c>
      <c r="C10" s="50"/>
      <c r="D10" s="51"/>
      <c r="E10" s="47"/>
      <c r="F10" s="52" t="s">
        <v>10</v>
      </c>
      <c r="G10" s="49">
        <f>B$18*Outputs!$J10</f>
        <v>28.2122576781695</v>
      </c>
      <c r="H10" s="50"/>
      <c r="I10" s="51"/>
      <c r="J10" s="41"/>
      <c r="K10" s="48" t="s">
        <v>10</v>
      </c>
      <c r="L10" s="49">
        <f t="shared" si="0"/>
        <v>353.78090247883108</v>
      </c>
      <c r="M10" s="50"/>
      <c r="N10" s="51"/>
    </row>
    <row r="11" spans="1:14" x14ac:dyDescent="0.25">
      <c r="A11" s="48" t="s">
        <v>11</v>
      </c>
      <c r="B11" s="49">
        <f>Outputs!G11-Outputs!F11</f>
        <v>417.10207094218094</v>
      </c>
      <c r="C11" s="50"/>
      <c r="D11" s="51"/>
      <c r="E11" s="47"/>
      <c r="F11" s="52" t="s">
        <v>11</v>
      </c>
      <c r="G11" s="49">
        <f>B$18*Outputs!$J11</f>
        <v>26.173319373328663</v>
      </c>
      <c r="H11" s="50"/>
      <c r="I11" s="51"/>
      <c r="J11" s="41"/>
      <c r="K11" s="48" t="s">
        <v>11</v>
      </c>
      <c r="L11" s="49">
        <f t="shared" si="0"/>
        <v>390.92875156885231</v>
      </c>
      <c r="M11" s="50"/>
      <c r="N11" s="51"/>
    </row>
    <row r="12" spans="1:14" x14ac:dyDescent="0.25">
      <c r="A12" s="48" t="s">
        <v>12</v>
      </c>
      <c r="B12" s="49">
        <f>Outputs!G12-Outputs!F12</f>
        <v>1157.5473507370589</v>
      </c>
      <c r="C12" s="50"/>
      <c r="D12" s="51"/>
      <c r="E12" s="47"/>
      <c r="F12" s="52" t="s">
        <v>12</v>
      </c>
      <c r="G12" s="49">
        <f>B$18*Outputs!$J12</f>
        <v>43.867001840340095</v>
      </c>
      <c r="H12" s="50"/>
      <c r="I12" s="51"/>
      <c r="J12" s="41"/>
      <c r="K12" s="48" t="s">
        <v>12</v>
      </c>
      <c r="L12" s="49">
        <f t="shared" si="0"/>
        <v>1113.6803488967189</v>
      </c>
      <c r="M12" s="50"/>
      <c r="N12" s="51"/>
    </row>
    <row r="13" spans="1:14" x14ac:dyDescent="0.25">
      <c r="A13" s="48" t="s">
        <v>13</v>
      </c>
      <c r="B13" s="49">
        <f>Outputs!G13-Outputs!F13</f>
        <v>595.76351843658449</v>
      </c>
      <c r="C13" s="50"/>
      <c r="D13" s="51"/>
      <c r="E13" s="47"/>
      <c r="F13" s="52" t="s">
        <v>13</v>
      </c>
      <c r="G13" s="49">
        <f>B$18*Outputs!$J13</f>
        <v>26.358369861478764</v>
      </c>
      <c r="H13" s="50"/>
      <c r="I13" s="51"/>
      <c r="J13" s="41"/>
      <c r="K13" s="48" t="s">
        <v>13</v>
      </c>
      <c r="L13" s="49">
        <f t="shared" si="0"/>
        <v>569.40514857510573</v>
      </c>
      <c r="M13" s="50"/>
      <c r="N13" s="51"/>
    </row>
    <row r="14" spans="1:14" x14ac:dyDescent="0.25">
      <c r="A14" s="48" t="s">
        <v>14</v>
      </c>
      <c r="B14" s="49">
        <f>Outputs!G14-Outputs!F14</f>
        <v>539.5240900488825</v>
      </c>
      <c r="C14" s="50"/>
      <c r="D14" s="51"/>
      <c r="E14" s="47"/>
      <c r="F14" s="52" t="s">
        <v>14</v>
      </c>
      <c r="G14" s="49">
        <f>B$18*Outputs!$J14</f>
        <v>24.629512781581447</v>
      </c>
      <c r="H14" s="50"/>
      <c r="I14" s="51"/>
      <c r="J14" s="41"/>
      <c r="K14" s="48" t="s">
        <v>14</v>
      </c>
      <c r="L14" s="49">
        <f t="shared" si="0"/>
        <v>514.89457726730109</v>
      </c>
      <c r="M14" s="50"/>
      <c r="N14" s="51"/>
    </row>
    <row r="15" spans="1:14" x14ac:dyDescent="0.25">
      <c r="A15" s="48" t="s">
        <v>15</v>
      </c>
      <c r="B15" s="49">
        <f>Outputs!G15-Outputs!F15</f>
        <v>361.78207094827212</v>
      </c>
      <c r="C15" s="50"/>
      <c r="D15" s="51"/>
      <c r="E15" s="47"/>
      <c r="F15" s="52" t="s">
        <v>15</v>
      </c>
      <c r="G15" s="49">
        <f>B$18*Outputs!$J15</f>
        <v>21.408908621905329</v>
      </c>
      <c r="H15" s="50"/>
      <c r="I15" s="51"/>
      <c r="J15" s="41"/>
      <c r="K15" s="48" t="s">
        <v>15</v>
      </c>
      <c r="L15" s="49">
        <f t="shared" si="0"/>
        <v>340.37316232636681</v>
      </c>
      <c r="M15" s="50"/>
      <c r="N15" s="51"/>
    </row>
    <row r="16" spans="1:14" x14ac:dyDescent="0.25">
      <c r="A16" s="48" t="s">
        <v>16</v>
      </c>
      <c r="B16" s="49">
        <f>Outputs!G16-Outputs!F16</f>
        <v>282.03533521229201</v>
      </c>
      <c r="C16" s="50"/>
      <c r="D16" s="51"/>
      <c r="E16" s="47"/>
      <c r="F16" s="58" t="s">
        <v>16</v>
      </c>
      <c r="G16" s="54">
        <f>B$18*Outputs!$J16</f>
        <v>16.745812774810346</v>
      </c>
      <c r="H16" s="55"/>
      <c r="I16" s="56"/>
      <c r="J16" s="41"/>
      <c r="K16" s="53" t="s">
        <v>16</v>
      </c>
      <c r="L16" s="54">
        <f t="shared" si="0"/>
        <v>265.28952243748165</v>
      </c>
      <c r="M16" s="55"/>
      <c r="N16" s="56"/>
    </row>
    <row r="17" spans="1:15" ht="15.95" customHeight="1" x14ac:dyDescent="0.25">
      <c r="A17" s="128" t="s">
        <v>28</v>
      </c>
      <c r="B17" s="121">
        <f>Outputs!G17-Outputs!F17</f>
        <v>3624851.0644617677</v>
      </c>
      <c r="C17" s="114"/>
      <c r="D17" s="116"/>
      <c r="E17" s="47"/>
      <c r="F17" s="41"/>
      <c r="G17" s="41"/>
      <c r="H17" s="41"/>
      <c r="I17" s="41"/>
      <c r="J17" s="41"/>
      <c r="K17" s="41"/>
      <c r="L17" s="59"/>
      <c r="M17" s="59"/>
      <c r="N17" s="126"/>
    </row>
    <row r="18" spans="1:15" ht="26.25" x14ac:dyDescent="0.25">
      <c r="A18" s="127" t="s">
        <v>85</v>
      </c>
      <c r="B18" s="54">
        <f>B17/mprod</f>
        <v>278.83469726628982</v>
      </c>
      <c r="C18" s="55"/>
      <c r="D18" s="56"/>
      <c r="F18" s="41"/>
      <c r="G18" s="41"/>
      <c r="H18" s="41"/>
      <c r="I18" s="41"/>
      <c r="J18" s="41"/>
      <c r="K18" s="41"/>
      <c r="L18" s="59"/>
      <c r="M18" s="59"/>
      <c r="N18" s="59"/>
    </row>
    <row r="19" spans="1:15" ht="15.95" customHeight="1" x14ac:dyDescent="0.25">
      <c r="F19" s="41"/>
      <c r="G19" s="41"/>
      <c r="H19" s="41"/>
      <c r="I19" s="41"/>
      <c r="J19" s="41"/>
      <c r="K19" s="41"/>
      <c r="L19" s="59"/>
      <c r="M19" s="59"/>
      <c r="N19" s="59"/>
    </row>
    <row r="20" spans="1:15" x14ac:dyDescent="0.25">
      <c r="A20" s="28" t="s">
        <v>61</v>
      </c>
      <c r="J20" s="41"/>
      <c r="K20" s="41"/>
      <c r="L20" s="59"/>
      <c r="M20" s="59"/>
      <c r="N20" s="59"/>
    </row>
    <row r="21" spans="1:15" ht="38.25" x14ac:dyDescent="0.25">
      <c r="A21" s="29" t="s">
        <v>20</v>
      </c>
      <c r="B21" s="29" t="s">
        <v>64</v>
      </c>
      <c r="C21" s="29" t="s">
        <v>65</v>
      </c>
      <c r="D21" s="30" t="s">
        <v>66</v>
      </c>
      <c r="E21" s="47"/>
      <c r="F21" s="31" t="s">
        <v>84</v>
      </c>
      <c r="G21" s="117" t="s">
        <v>64</v>
      </c>
      <c r="H21" s="117" t="s">
        <v>65</v>
      </c>
      <c r="I21" s="117" t="s">
        <v>66</v>
      </c>
      <c r="J21" s="41"/>
      <c r="K21" s="31" t="s">
        <v>62</v>
      </c>
      <c r="L21" s="29" t="s">
        <v>64</v>
      </c>
      <c r="M21" s="29" t="s">
        <v>65</v>
      </c>
      <c r="N21" s="30" t="s">
        <v>66</v>
      </c>
    </row>
    <row r="22" spans="1:15" x14ac:dyDescent="0.25">
      <c r="A22" s="32" t="s">
        <v>4</v>
      </c>
      <c r="B22" s="49">
        <f>Outputs!G21-Outputs!F21</f>
        <v>1600.0755358279785</v>
      </c>
      <c r="C22" s="49">
        <f>Outputs!H21-Outputs!F21</f>
        <v>2355.8604852328717</v>
      </c>
      <c r="D22" s="120">
        <f>Outputs!H21-Outputs!G21</f>
        <v>755.78494940489327</v>
      </c>
      <c r="E22" s="47"/>
      <c r="F22" s="48" t="s">
        <v>4</v>
      </c>
      <c r="G22" s="49">
        <f>B$28*Outputs!$J21</f>
        <v>67.724844852116661</v>
      </c>
      <c r="H22" s="49">
        <f>C$28*Outputs!$J21</f>
        <v>380.90226435798883</v>
      </c>
      <c r="I22" s="120">
        <f>D$28*Outputs!$J21</f>
        <v>313.17741950587214</v>
      </c>
      <c r="J22" s="41"/>
      <c r="K22" s="48" t="s">
        <v>4</v>
      </c>
      <c r="L22" s="49">
        <f t="shared" ref="L22:N26" si="1">B22-G22</f>
        <v>1532.3506909758619</v>
      </c>
      <c r="M22" s="49">
        <f t="shared" si="1"/>
        <v>1974.958220874883</v>
      </c>
      <c r="N22" s="120">
        <f t="shared" si="1"/>
        <v>442.60752989902113</v>
      </c>
    </row>
    <row r="23" spans="1:15" x14ac:dyDescent="0.25">
      <c r="A23" s="32" t="s">
        <v>0</v>
      </c>
      <c r="B23" s="49">
        <f>Outputs!G22-Outputs!F22</f>
        <v>1142.8461488006724</v>
      </c>
      <c r="C23" s="49">
        <f>Outputs!H22-Outputs!F22</f>
        <v>1430.991730404472</v>
      </c>
      <c r="D23" s="120">
        <f>Outputs!H22-Outputs!G22</f>
        <v>288.14558160379966</v>
      </c>
      <c r="E23" s="47"/>
      <c r="F23" s="48" t="s">
        <v>0</v>
      </c>
      <c r="G23" s="49">
        <f>B$28*Outputs!$J22</f>
        <v>59.396708097032928</v>
      </c>
      <c r="H23" s="49">
        <f>C$28*Outputs!$J22</f>
        <v>334.06264213631835</v>
      </c>
      <c r="I23" s="120">
        <f>D$28*Outputs!$J22</f>
        <v>274.66593403928539</v>
      </c>
      <c r="J23" s="41"/>
      <c r="K23" s="48" t="s">
        <v>0</v>
      </c>
      <c r="L23" s="49">
        <f t="shared" si="1"/>
        <v>1083.4494407036395</v>
      </c>
      <c r="M23" s="49">
        <f t="shared" si="1"/>
        <v>1096.9290882681537</v>
      </c>
      <c r="N23" s="120">
        <f t="shared" si="1"/>
        <v>13.479647564514266</v>
      </c>
    </row>
    <row r="24" spans="1:15" x14ac:dyDescent="0.25">
      <c r="A24" s="32" t="s">
        <v>1</v>
      </c>
      <c r="B24" s="49">
        <f>Outputs!G23-Outputs!F23</f>
        <v>1239.2741737175711</v>
      </c>
      <c r="C24" s="49">
        <f>Outputs!H23-Outputs!F23</f>
        <v>1293.2265827224619</v>
      </c>
      <c r="D24" s="120">
        <f>Outputs!H23-Outputs!G23</f>
        <v>53.952409004890796</v>
      </c>
      <c r="E24" s="47"/>
      <c r="F24" s="48" t="s">
        <v>1</v>
      </c>
      <c r="G24" s="49">
        <f>B$28*Outputs!$J23</f>
        <v>59.174281923384278</v>
      </c>
      <c r="H24" s="49">
        <f>C$28*Outputs!$J23</f>
        <v>332.81165908304956</v>
      </c>
      <c r="I24" s="120">
        <f>D$28*Outputs!$J23</f>
        <v>273.63737715966533</v>
      </c>
      <c r="J24" s="41"/>
      <c r="K24" s="48" t="s">
        <v>1</v>
      </c>
      <c r="L24" s="49">
        <f t="shared" si="1"/>
        <v>1180.0998917941868</v>
      </c>
      <c r="M24" s="49">
        <f t="shared" si="1"/>
        <v>960.41492363941234</v>
      </c>
      <c r="N24" s="120">
        <f t="shared" si="1"/>
        <v>-219.68496815477454</v>
      </c>
    </row>
    <row r="25" spans="1:15" x14ac:dyDescent="0.25">
      <c r="A25" s="32" t="s">
        <v>2</v>
      </c>
      <c r="B25" s="49">
        <f>Outputs!G24-Outputs!F24</f>
        <v>743.77523110527181</v>
      </c>
      <c r="C25" s="49">
        <f>Outputs!H24-Outputs!F24</f>
        <v>743.77523110527181</v>
      </c>
      <c r="D25" s="120">
        <f>Outputs!H24-Outputs!G24</f>
        <v>0</v>
      </c>
      <c r="E25" s="47"/>
      <c r="F25" s="48" t="s">
        <v>2</v>
      </c>
      <c r="G25" s="49">
        <f>B$28*Outputs!$J24</f>
        <v>49.621166300074826</v>
      </c>
      <c r="H25" s="49">
        <f>C$28*Outputs!$J24</f>
        <v>279.08243488862132</v>
      </c>
      <c r="I25" s="120">
        <f>D$28*Outputs!$J24</f>
        <v>229.46126858854646</v>
      </c>
      <c r="J25" s="41"/>
      <c r="K25" s="48" t="s">
        <v>2</v>
      </c>
      <c r="L25" s="49">
        <f t="shared" si="1"/>
        <v>694.15406480519698</v>
      </c>
      <c r="M25" s="49">
        <f t="shared" si="1"/>
        <v>464.69279621665049</v>
      </c>
      <c r="N25" s="120">
        <f t="shared" si="1"/>
        <v>-229.46126858854646</v>
      </c>
    </row>
    <row r="26" spans="1:15" x14ac:dyDescent="0.25">
      <c r="A26" s="32" t="s">
        <v>3</v>
      </c>
      <c r="B26" s="49">
        <f>Outputs!G25-Outputs!F25</f>
        <v>699.13740615447387</v>
      </c>
      <c r="C26" s="49">
        <f>Outputs!H25-Outputs!F25</f>
        <v>699.13740615447387</v>
      </c>
      <c r="D26" s="120">
        <f>Outputs!H25-Outputs!G25</f>
        <v>0</v>
      </c>
      <c r="E26" s="47"/>
      <c r="F26" s="53" t="s">
        <v>3</v>
      </c>
      <c r="G26" s="54">
        <f>B$28*Outputs!$J25</f>
        <v>42.919132148139013</v>
      </c>
      <c r="H26" s="54">
        <f>C$28*Outputs!$J25</f>
        <v>241.38843957787176</v>
      </c>
      <c r="I26" s="124">
        <f>D$28*Outputs!$J25</f>
        <v>198.46930742973274</v>
      </c>
      <c r="J26" s="41"/>
      <c r="K26" s="53" t="s">
        <v>3</v>
      </c>
      <c r="L26" s="54">
        <f t="shared" si="1"/>
        <v>656.21827400633481</v>
      </c>
      <c r="M26" s="54">
        <f t="shared" si="1"/>
        <v>457.74896657660213</v>
      </c>
      <c r="N26" s="124">
        <f t="shared" si="1"/>
        <v>-198.46930742973274</v>
      </c>
    </row>
    <row r="27" spans="1:15" x14ac:dyDescent="0.25">
      <c r="A27" s="57" t="s">
        <v>28</v>
      </c>
      <c r="B27" s="60">
        <f>Outputs!G26-Outputs!F26</f>
        <v>3624851.0644617677</v>
      </c>
      <c r="C27" s="121">
        <f>Outputs!H26-Outputs!F26</f>
        <v>20387111.72286725</v>
      </c>
      <c r="D27" s="122">
        <f>Outputs!H26-Outputs!G26</f>
        <v>16762260.658405483</v>
      </c>
      <c r="E27" s="47"/>
      <c r="J27" s="41"/>
      <c r="K27" s="41"/>
      <c r="L27" s="41"/>
      <c r="M27" s="41"/>
      <c r="N27" s="41"/>
    </row>
    <row r="28" spans="1:15" ht="26.25" x14ac:dyDescent="0.25">
      <c r="A28" s="113" t="s">
        <v>85</v>
      </c>
      <c r="B28" s="115">
        <f>B27/mprod</f>
        <v>278.83469726628982</v>
      </c>
      <c r="C28" s="115">
        <f>C27/mprod</f>
        <v>1568.2393632974808</v>
      </c>
      <c r="D28" s="123">
        <f>D27/mprod</f>
        <v>1289.404666031191</v>
      </c>
      <c r="J28" s="41"/>
      <c r="K28" s="41"/>
      <c r="L28" s="41"/>
      <c r="M28" s="41"/>
      <c r="N28" s="41"/>
      <c r="O28" s="16"/>
    </row>
    <row r="29" spans="1:15" x14ac:dyDescent="0.25">
      <c r="J29" s="41"/>
      <c r="K29" s="41"/>
      <c r="L29" s="41"/>
      <c r="M29" s="41"/>
      <c r="N29" s="41"/>
      <c r="O29" s="16"/>
    </row>
    <row r="30" spans="1:15" ht="15.95" customHeight="1" x14ac:dyDescent="0.25">
      <c r="M30" s="16"/>
      <c r="N30" s="16"/>
      <c r="O30" s="16"/>
    </row>
    <row r="31" spans="1:15" x14ac:dyDescent="0.25">
      <c r="O31" s="16"/>
    </row>
  </sheetData>
  <mergeCells count="1">
    <mergeCell ref="A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92"/>
  <sheetViews>
    <sheetView workbookViewId="0"/>
  </sheetViews>
  <sheetFormatPr defaultColWidth="8.875" defaultRowHeight="14.25" x14ac:dyDescent="0.2"/>
  <cols>
    <col min="1" max="1" width="14" customWidth="1"/>
    <col min="2" max="2" width="10.625" customWidth="1"/>
    <col min="4" max="5" width="9.625" customWidth="1"/>
    <col min="6" max="6" width="9.75" customWidth="1"/>
    <col min="7" max="7" width="6.125" customWidth="1"/>
    <col min="8" max="8" width="12.25" customWidth="1"/>
    <col min="12" max="12" width="5.125" customWidth="1"/>
    <col min="13" max="13" width="10.5" customWidth="1"/>
    <col min="14" max="14" width="7.375" customWidth="1"/>
    <col min="15" max="15" width="8.125" customWidth="1"/>
    <col min="16" max="16" width="9.375" customWidth="1"/>
    <col min="17" max="17" width="5.625" customWidth="1"/>
    <col min="18" max="18" width="13.375" customWidth="1"/>
    <col min="19" max="19" width="13" customWidth="1"/>
  </cols>
  <sheetData>
    <row r="1" spans="1:17" ht="18.75" x14ac:dyDescent="0.3">
      <c r="A1" s="25" t="s">
        <v>112</v>
      </c>
      <c r="B1" s="16"/>
      <c r="C1" s="16"/>
      <c r="D1" s="16"/>
      <c r="E1" s="16"/>
      <c r="F1" s="16"/>
      <c r="G1" s="16"/>
      <c r="H1" s="154" t="s">
        <v>126</v>
      </c>
      <c r="I1" s="155"/>
      <c r="J1" s="155"/>
      <c r="K1" s="155"/>
      <c r="L1" s="155"/>
      <c r="M1" s="155"/>
      <c r="N1" s="155"/>
      <c r="O1" s="155"/>
      <c r="P1" s="16"/>
      <c r="Q1" s="16"/>
    </row>
    <row r="2" spans="1:17" ht="15.75" x14ac:dyDescent="0.25">
      <c r="A2" s="16"/>
      <c r="B2" s="16"/>
      <c r="C2" s="16"/>
      <c r="D2" s="16"/>
      <c r="E2" s="16"/>
      <c r="F2" s="16"/>
      <c r="G2" s="16"/>
      <c r="H2" s="16"/>
      <c r="I2" s="16"/>
      <c r="J2" s="16"/>
      <c r="K2" s="16"/>
      <c r="L2" s="16"/>
      <c r="M2" s="16"/>
      <c r="N2" s="16"/>
      <c r="O2" s="16"/>
      <c r="P2" s="26"/>
      <c r="Q2" s="26"/>
    </row>
    <row r="3" spans="1:17" ht="41.25" customHeight="1" x14ac:dyDescent="0.25">
      <c r="A3" s="164" t="s">
        <v>113</v>
      </c>
      <c r="B3" s="164"/>
      <c r="C3" s="164"/>
      <c r="D3" s="164"/>
      <c r="E3" s="164"/>
      <c r="F3" s="164"/>
      <c r="G3" s="164"/>
      <c r="H3" s="164"/>
      <c r="I3" s="164"/>
      <c r="J3" s="16"/>
      <c r="K3" s="16"/>
      <c r="L3" s="16"/>
      <c r="M3" s="16"/>
      <c r="N3" s="16"/>
      <c r="O3" s="16"/>
      <c r="P3" s="26"/>
      <c r="Q3" s="26"/>
    </row>
    <row r="4" spans="1:17" ht="15.75" x14ac:dyDescent="0.25">
      <c r="A4" s="16"/>
      <c r="B4" s="16"/>
      <c r="C4" s="16"/>
      <c r="D4" s="16"/>
      <c r="E4" s="16"/>
      <c r="F4" s="16"/>
      <c r="G4" s="16"/>
      <c r="H4" s="16"/>
      <c r="I4" s="16"/>
      <c r="J4" s="16"/>
      <c r="K4" s="16"/>
      <c r="L4" s="16"/>
      <c r="M4" s="16"/>
      <c r="N4" s="16"/>
      <c r="O4" s="16"/>
      <c r="P4" s="26"/>
      <c r="Q4" s="26"/>
    </row>
    <row r="5" spans="1:17" ht="15.75" x14ac:dyDescent="0.25">
      <c r="A5" s="15" t="s">
        <v>118</v>
      </c>
      <c r="B5" s="16"/>
      <c r="C5" s="16"/>
      <c r="D5" s="16"/>
      <c r="E5" s="16"/>
      <c r="F5" s="16"/>
      <c r="G5" s="16"/>
      <c r="H5" s="16"/>
      <c r="I5" s="16"/>
      <c r="J5" s="16"/>
      <c r="K5" s="16"/>
      <c r="L5" s="16"/>
      <c r="M5" s="16"/>
      <c r="N5" s="16"/>
      <c r="O5" s="16"/>
      <c r="P5" s="26"/>
      <c r="Q5" s="26"/>
    </row>
    <row r="6" spans="1:17" ht="15.75" x14ac:dyDescent="0.25">
      <c r="A6" s="16"/>
      <c r="B6" s="16"/>
      <c r="C6" s="16"/>
      <c r="D6" s="16"/>
      <c r="E6" s="16"/>
      <c r="F6" s="16"/>
      <c r="G6" s="16"/>
      <c r="H6" s="16"/>
      <c r="I6" s="16"/>
      <c r="J6" s="16"/>
      <c r="K6" s="16"/>
      <c r="L6" s="16"/>
      <c r="M6" s="16"/>
      <c r="N6" s="16"/>
      <c r="O6" s="16"/>
      <c r="P6" s="26"/>
      <c r="Q6" s="26"/>
    </row>
    <row r="7" spans="1:17" ht="15.75" x14ac:dyDescent="0.25">
      <c r="A7" s="28" t="s">
        <v>104</v>
      </c>
      <c r="B7" s="16"/>
      <c r="C7" s="16"/>
      <c r="D7" s="16"/>
      <c r="E7" s="16"/>
      <c r="F7" s="16"/>
      <c r="G7" s="16"/>
      <c r="H7" s="28" t="s">
        <v>106</v>
      </c>
      <c r="I7" s="16"/>
      <c r="J7" s="16"/>
      <c r="K7" s="16"/>
      <c r="L7" s="16"/>
      <c r="M7" s="28" t="s">
        <v>108</v>
      </c>
      <c r="N7" s="16"/>
      <c r="O7" s="16"/>
      <c r="P7" s="16"/>
      <c r="Q7" s="16"/>
    </row>
    <row r="8" spans="1:17" ht="51" x14ac:dyDescent="0.25">
      <c r="A8" s="61" t="s">
        <v>6</v>
      </c>
      <c r="B8" s="62" t="s">
        <v>5</v>
      </c>
      <c r="C8" s="109" t="s">
        <v>110</v>
      </c>
      <c r="D8" s="109" t="s">
        <v>116</v>
      </c>
      <c r="E8" s="109" t="s">
        <v>111</v>
      </c>
      <c r="F8" s="110" t="s">
        <v>109</v>
      </c>
      <c r="G8" s="16"/>
      <c r="H8" s="119" t="s">
        <v>114</v>
      </c>
      <c r="I8" s="109" t="s">
        <v>68</v>
      </c>
      <c r="J8" s="109" t="s">
        <v>109</v>
      </c>
      <c r="K8" s="63" t="s">
        <v>6</v>
      </c>
      <c r="L8" s="16"/>
      <c r="M8" s="119" t="s">
        <v>114</v>
      </c>
      <c r="N8" s="62" t="s">
        <v>6</v>
      </c>
      <c r="O8" s="109" t="s">
        <v>69</v>
      </c>
      <c r="P8" s="109" t="s">
        <v>21</v>
      </c>
      <c r="Q8" s="63" t="s">
        <v>80</v>
      </c>
    </row>
    <row r="9" spans="1:17" ht="15.75" x14ac:dyDescent="0.25">
      <c r="A9" s="52" t="s">
        <v>7</v>
      </c>
      <c r="B9" s="139">
        <v>3959316</v>
      </c>
      <c r="C9" s="66">
        <f>Outputs!C7</f>
        <v>65.953454828519668</v>
      </c>
      <c r="D9" s="49">
        <f>'Net Calcs'!L7</f>
        <v>418.67034207914213</v>
      </c>
      <c r="E9" s="67">
        <f t="shared" ref="E9:E18" si="0">D9/B9</f>
        <v>1.0574309857539589E-4</v>
      </c>
      <c r="F9" s="68">
        <f t="shared" ref="F9:F18" si="1">(C9*B9+D9)/B9</f>
        <v>65.95356057161824</v>
      </c>
      <c r="G9" s="16"/>
      <c r="H9" s="69">
        <f t="shared" ref="H9:H18" si="2">RANK(F9,$F$9:$F$18,1)</f>
        <v>2</v>
      </c>
      <c r="I9" s="70">
        <f>Outputs!B7</f>
        <v>7.1638401972697899E-2</v>
      </c>
      <c r="J9" s="66">
        <f t="shared" ref="J9:J18" si="3">F9</f>
        <v>65.95356057161824</v>
      </c>
      <c r="K9" s="71" t="str">
        <f t="shared" ref="K9:K18" si="4">A9</f>
        <v>S1</v>
      </c>
      <c r="L9" s="16"/>
      <c r="M9" s="72">
        <v>1</v>
      </c>
      <c r="N9" s="73" t="str">
        <f>VLOOKUP(M9,'Final Dist'!$H$9:$K$18,4,0)</f>
        <v>N1</v>
      </c>
      <c r="O9" s="73">
        <f>VLOOKUP(M9,'Final Dist'!$H$9:$K$18,2,0)</f>
        <v>0.13172031147751195</v>
      </c>
      <c r="P9" s="147">
        <f>O9/2</f>
        <v>6.5860155738755977E-2</v>
      </c>
      <c r="Q9" s="74">
        <f>VLOOKUP(M9,'Final Dist'!$H$9:$K$18,3,0)</f>
        <v>61.92536672465171</v>
      </c>
    </row>
    <row r="10" spans="1:17" ht="15.75" x14ac:dyDescent="0.25">
      <c r="A10" s="52" t="s">
        <v>8</v>
      </c>
      <c r="B10" s="139">
        <v>6331048</v>
      </c>
      <c r="C10" s="66">
        <f>Outputs!C8</f>
        <v>70.344928147144799</v>
      </c>
      <c r="D10" s="49">
        <f>'Net Calcs'!L8</f>
        <v>514.04429212853734</v>
      </c>
      <c r="E10" s="67">
        <f t="shared" si="0"/>
        <v>8.1194186512017807E-5</v>
      </c>
      <c r="F10" s="68">
        <f t="shared" si="1"/>
        <v>70.345009341331306</v>
      </c>
      <c r="G10" s="16"/>
      <c r="H10" s="69">
        <f t="shared" si="2"/>
        <v>5</v>
      </c>
      <c r="I10" s="70">
        <f>Outputs!B8</f>
        <v>0.11455164516609564</v>
      </c>
      <c r="J10" s="66">
        <f t="shared" si="3"/>
        <v>70.345009341331306</v>
      </c>
      <c r="K10" s="71" t="str">
        <f t="shared" si="4"/>
        <v>S2</v>
      </c>
      <c r="L10" s="16"/>
      <c r="M10" s="72">
        <v>2</v>
      </c>
      <c r="N10" s="73" t="str">
        <f>VLOOKUP(M10,'Final Dist'!$H$9:$K$18,4,0)</f>
        <v>S1</v>
      </c>
      <c r="O10" s="73">
        <f>VLOOKUP(M10,'Final Dist'!$H$9:$K$18,2,0)</f>
        <v>7.1638401972697899E-2</v>
      </c>
      <c r="P10" s="147">
        <f>SUM($O$9:O9)+O10/2</f>
        <v>0.1675395124638609</v>
      </c>
      <c r="Q10" s="74">
        <f>VLOOKUP(M10,'Final Dist'!$H$9:$K$18,3,0)</f>
        <v>65.95356057161824</v>
      </c>
    </row>
    <row r="11" spans="1:17" ht="15.75" x14ac:dyDescent="0.25">
      <c r="A11" s="52" t="s">
        <v>9</v>
      </c>
      <c r="B11" s="139">
        <v>6474305</v>
      </c>
      <c r="C11" s="66">
        <f>Outputs!C9</f>
        <v>72.213544204351976</v>
      </c>
      <c r="D11" s="49">
        <f>'Net Calcs'!L9</f>
        <v>665.20531452688579</v>
      </c>
      <c r="E11" s="67">
        <f t="shared" si="0"/>
        <v>1.027454397849477E-4</v>
      </c>
      <c r="F11" s="68">
        <f t="shared" si="1"/>
        <v>72.213646949791766</v>
      </c>
      <c r="G11" s="16"/>
      <c r="H11" s="69">
        <f t="shared" si="2"/>
        <v>6</v>
      </c>
      <c r="I11" s="70">
        <f>Outputs!B9</f>
        <v>0.11714368443535396</v>
      </c>
      <c r="J11" s="66">
        <f t="shared" si="3"/>
        <v>72.213646949791766</v>
      </c>
      <c r="K11" s="71" t="str">
        <f t="shared" si="4"/>
        <v>S3</v>
      </c>
      <c r="L11" s="16"/>
      <c r="M11" s="72">
        <v>3</v>
      </c>
      <c r="N11" s="73" t="str">
        <f>VLOOKUP(M11,'Final Dist'!$H$9:$K$18,4,0)</f>
        <v>N2</v>
      </c>
      <c r="O11" s="73">
        <f>VLOOKUP(M11,'Final Dist'!$H$9:$K$18,2,0)</f>
        <v>9.1390603546890825E-2</v>
      </c>
      <c r="P11" s="147">
        <f>SUM($O$9:O10)+O11/2</f>
        <v>0.24905401522365525</v>
      </c>
      <c r="Q11" s="74">
        <f>VLOOKUP(M11,'Final Dist'!$H$9:$K$18,3,0)</f>
        <v>66.817065204895215</v>
      </c>
    </row>
    <row r="12" spans="1:17" ht="15.75" x14ac:dyDescent="0.25">
      <c r="A12" s="52" t="s">
        <v>10</v>
      </c>
      <c r="B12" s="139">
        <v>6194904</v>
      </c>
      <c r="C12" s="66">
        <f>Outputs!C10</f>
        <v>75.597859352178702</v>
      </c>
      <c r="D12" s="49">
        <f>'Net Calcs'!L10</f>
        <v>353.78090247883108</v>
      </c>
      <c r="E12" s="67">
        <f t="shared" si="0"/>
        <v>5.7108375283754372E-5</v>
      </c>
      <c r="F12" s="68">
        <f t="shared" si="1"/>
        <v>75.597916460553989</v>
      </c>
      <c r="G12" s="16"/>
      <c r="H12" s="69">
        <f t="shared" si="2"/>
        <v>9</v>
      </c>
      <c r="I12" s="70">
        <f>Outputs!B10</f>
        <v>0.11208830589280425</v>
      </c>
      <c r="J12" s="66">
        <f t="shared" si="3"/>
        <v>75.597916460553989</v>
      </c>
      <c r="K12" s="71" t="str">
        <f t="shared" si="4"/>
        <v>S4</v>
      </c>
      <c r="L12" s="16"/>
      <c r="M12" s="72">
        <v>4</v>
      </c>
      <c r="N12" s="73" t="str">
        <f>VLOOKUP(M12,'Final Dist'!$H$9:$K$18,4,0)</f>
        <v>N3</v>
      </c>
      <c r="O12" s="73">
        <f>VLOOKUP(M12,'Final Dist'!$H$9:$K$18,2,0)</f>
        <v>8.3520398858892606E-2</v>
      </c>
      <c r="P12" s="147">
        <f>SUM($O$9:O11)+O12/2</f>
        <v>0.33650951642654697</v>
      </c>
      <c r="Q12" s="74">
        <f>VLOOKUP(M12,'Final Dist'!$H$9:$K$18,3,0)</f>
        <v>68.975147647239979</v>
      </c>
    </row>
    <row r="13" spans="1:17" ht="15.75" x14ac:dyDescent="0.25">
      <c r="A13" s="52" t="s">
        <v>11</v>
      </c>
      <c r="B13" s="139">
        <v>6501111</v>
      </c>
      <c r="C13" s="66">
        <f>Outputs!C11</f>
        <v>77.323143845980766</v>
      </c>
      <c r="D13" s="49">
        <f>'Net Calcs'!L11</f>
        <v>390.92875156885231</v>
      </c>
      <c r="E13" s="67">
        <f t="shared" si="0"/>
        <v>6.0132606806567728E-5</v>
      </c>
      <c r="F13" s="68">
        <f t="shared" si="1"/>
        <v>77.323203978587571</v>
      </c>
      <c r="G13" s="16"/>
      <c r="H13" s="69">
        <f t="shared" si="2"/>
        <v>10</v>
      </c>
      <c r="I13" s="70">
        <f>Outputs!B11</f>
        <v>0.11762870230290486</v>
      </c>
      <c r="J13" s="66">
        <f t="shared" si="3"/>
        <v>77.323203978587571</v>
      </c>
      <c r="K13" s="71" t="str">
        <f t="shared" si="4"/>
        <v>S5</v>
      </c>
      <c r="L13" s="16"/>
      <c r="M13" s="72">
        <v>5</v>
      </c>
      <c r="N13" s="73" t="str">
        <f>VLOOKUP(M13,'Final Dist'!$H$9:$K$18,4,0)</f>
        <v>S2</v>
      </c>
      <c r="O13" s="73">
        <f>VLOOKUP(M13,'Final Dist'!$H$9:$K$18,2,0)</f>
        <v>0.11455164516609564</v>
      </c>
      <c r="P13" s="147">
        <f>SUM($O$9:O12)+O13/2</f>
        <v>0.43554553843904109</v>
      </c>
      <c r="Q13" s="74">
        <f>VLOOKUP(M13,'Final Dist'!$H$9:$K$18,3,0)</f>
        <v>70.345009341331306</v>
      </c>
    </row>
    <row r="14" spans="1:17" ht="15.75" x14ac:dyDescent="0.25">
      <c r="A14" s="52" t="s">
        <v>12</v>
      </c>
      <c r="B14" s="139">
        <v>7279927</v>
      </c>
      <c r="C14" s="66">
        <f>Outputs!C12</f>
        <v>61.925213745047813</v>
      </c>
      <c r="D14" s="49">
        <f>'Net Calcs'!L12</f>
        <v>1113.6803488967189</v>
      </c>
      <c r="E14" s="67">
        <f t="shared" si="0"/>
        <v>1.5297960390217084E-4</v>
      </c>
      <c r="F14" s="68">
        <f t="shared" si="1"/>
        <v>61.92536672465171</v>
      </c>
      <c r="G14" s="16"/>
      <c r="H14" s="69">
        <f t="shared" si="2"/>
        <v>1</v>
      </c>
      <c r="I14" s="70">
        <f>Outputs!B12</f>
        <v>0.13172031147751195</v>
      </c>
      <c r="J14" s="66">
        <f t="shared" si="3"/>
        <v>61.92536672465171</v>
      </c>
      <c r="K14" s="71" t="str">
        <f t="shared" si="4"/>
        <v>N1</v>
      </c>
      <c r="L14" s="16"/>
      <c r="M14" s="72">
        <v>6</v>
      </c>
      <c r="N14" s="73" t="str">
        <f>VLOOKUP(M14,'Final Dist'!$H$9:$K$18,4,0)</f>
        <v>S3</v>
      </c>
      <c r="O14" s="73">
        <f>VLOOKUP(M14,'Final Dist'!$H$9:$K$18,2,0)</f>
        <v>0.11714368443535396</v>
      </c>
      <c r="P14" s="147">
        <f>SUM($O$9:O13)+O14/2</f>
        <v>0.55139320323976593</v>
      </c>
      <c r="Q14" s="74">
        <f>VLOOKUP(M14,'Final Dist'!$H$9:$K$18,3,0)</f>
        <v>72.213646949791766</v>
      </c>
    </row>
    <row r="15" spans="1:17" ht="15.75" x14ac:dyDescent="0.25">
      <c r="A15" s="52" t="s">
        <v>13</v>
      </c>
      <c r="B15" s="139">
        <v>5050982</v>
      </c>
      <c r="C15" s="66">
        <f>Outputs!C13</f>
        <v>66.81695247332172</v>
      </c>
      <c r="D15" s="49">
        <f>'Net Calcs'!L13</f>
        <v>569.40514857510573</v>
      </c>
      <c r="E15" s="67">
        <f t="shared" si="0"/>
        <v>1.1273157349899599E-4</v>
      </c>
      <c r="F15" s="68">
        <f t="shared" si="1"/>
        <v>66.817065204895215</v>
      </c>
      <c r="G15" s="16"/>
      <c r="H15" s="69">
        <f t="shared" si="2"/>
        <v>3</v>
      </c>
      <c r="I15" s="70">
        <f>Outputs!B13</f>
        <v>9.1390603546890825E-2</v>
      </c>
      <c r="J15" s="66">
        <f t="shared" si="3"/>
        <v>66.817065204895215</v>
      </c>
      <c r="K15" s="71" t="str">
        <f t="shared" si="4"/>
        <v>N2</v>
      </c>
      <c r="L15" s="16"/>
      <c r="M15" s="72">
        <v>7</v>
      </c>
      <c r="N15" s="73" t="str">
        <f>VLOOKUP(M15,'Final Dist'!$H$9:$K$18,4,0)</f>
        <v>N4</v>
      </c>
      <c r="O15" s="73">
        <f>VLOOKUP(M15,'Final Dist'!$H$9:$K$18,2,0)</f>
        <v>8.5058429852449879E-2</v>
      </c>
      <c r="P15" s="147">
        <f>SUM($O$9:O14)+O15/2</f>
        <v>0.65249426038366787</v>
      </c>
      <c r="Q15" s="74">
        <f>VLOOKUP(M15,'Final Dist'!$H$9:$K$18,3,0)</f>
        <v>72.64828737006286</v>
      </c>
    </row>
    <row r="16" spans="1:17" ht="15.75" x14ac:dyDescent="0.25">
      <c r="A16" s="52" t="s">
        <v>14</v>
      </c>
      <c r="B16" s="139">
        <v>4616011</v>
      </c>
      <c r="C16" s="66">
        <f>Outputs!C14</f>
        <v>68.975036101886801</v>
      </c>
      <c r="D16" s="49">
        <f>'Net Calcs'!L14</f>
        <v>514.89457726730109</v>
      </c>
      <c r="E16" s="67">
        <f t="shared" si="0"/>
        <v>1.1154535317773313E-4</v>
      </c>
      <c r="F16" s="68">
        <f t="shared" si="1"/>
        <v>68.975147647239979</v>
      </c>
      <c r="G16" s="16"/>
      <c r="H16" s="69">
        <f t="shared" si="2"/>
        <v>4</v>
      </c>
      <c r="I16" s="70">
        <f>Outputs!B14</f>
        <v>8.3520398858892606E-2</v>
      </c>
      <c r="J16" s="66">
        <f t="shared" si="3"/>
        <v>68.975147647239979</v>
      </c>
      <c r="K16" s="71" t="str">
        <f t="shared" si="4"/>
        <v>N3</v>
      </c>
      <c r="L16" s="16"/>
      <c r="M16" s="72">
        <v>8</v>
      </c>
      <c r="N16" s="73" t="str">
        <f>VLOOKUP(M16,'Final Dist'!$H$9:$K$18,4,0)</f>
        <v>N5</v>
      </c>
      <c r="O16" s="73">
        <f>VLOOKUP(M16,'Final Dist'!$H$9:$K$18,2,0)</f>
        <v>7.5259516494398118E-2</v>
      </c>
      <c r="P16" s="147">
        <f>SUM($O$9:O15)+O16/2</f>
        <v>0.73265323355709178</v>
      </c>
      <c r="Q16" s="74">
        <f>VLOOKUP(M16,'Final Dist'!$H$9:$K$18,3,0)</f>
        <v>74.561219777707066</v>
      </c>
    </row>
    <row r="17" spans="1:17" ht="15.75" x14ac:dyDescent="0.25">
      <c r="A17" s="52" t="s">
        <v>15</v>
      </c>
      <c r="B17" s="139">
        <v>4701015</v>
      </c>
      <c r="C17" s="66">
        <f>Outputs!C15</f>
        <v>72.648214965877315</v>
      </c>
      <c r="D17" s="49">
        <f>'Net Calcs'!L15</f>
        <v>340.37316232636681</v>
      </c>
      <c r="E17" s="67">
        <f t="shared" si="0"/>
        <v>7.2404185548518099E-5</v>
      </c>
      <c r="F17" s="68">
        <f t="shared" si="1"/>
        <v>72.64828737006286</v>
      </c>
      <c r="G17" s="16"/>
      <c r="H17" s="69">
        <f t="shared" si="2"/>
        <v>7</v>
      </c>
      <c r="I17" s="70">
        <f>Outputs!B15</f>
        <v>8.5058429852449879E-2</v>
      </c>
      <c r="J17" s="66">
        <f t="shared" si="3"/>
        <v>72.64828737006286</v>
      </c>
      <c r="K17" s="71" t="str">
        <f t="shared" si="4"/>
        <v>N4</v>
      </c>
      <c r="L17" s="16"/>
      <c r="M17" s="72">
        <v>9</v>
      </c>
      <c r="N17" s="73" t="str">
        <f>VLOOKUP(M17,'Final Dist'!$H$9:$K$18,4,0)</f>
        <v>S4</v>
      </c>
      <c r="O17" s="73">
        <f>VLOOKUP(M17,'Final Dist'!$H$9:$K$18,2,0)</f>
        <v>0.11208830589280425</v>
      </c>
      <c r="P17" s="147">
        <f>SUM($O$9:O16)+O17/2</f>
        <v>0.82632714475069291</v>
      </c>
      <c r="Q17" s="74">
        <f>VLOOKUP(M17,'Final Dist'!$H$9:$K$18,3,0)</f>
        <v>75.597916460553989</v>
      </c>
    </row>
    <row r="18" spans="1:17" ht="15.75" x14ac:dyDescent="0.25">
      <c r="A18" s="58" t="s">
        <v>16</v>
      </c>
      <c r="B18" s="140">
        <v>4159448</v>
      </c>
      <c r="C18" s="75">
        <f>Outputs!C16</f>
        <v>74.561155997724143</v>
      </c>
      <c r="D18" s="54">
        <f>'Net Calcs'!L16</f>
        <v>265.28952243748165</v>
      </c>
      <c r="E18" s="76">
        <f t="shared" si="0"/>
        <v>6.3779982929821859E-5</v>
      </c>
      <c r="F18" s="77">
        <f t="shared" si="1"/>
        <v>74.561219777707066</v>
      </c>
      <c r="G18" s="16"/>
      <c r="H18" s="78">
        <f t="shared" si="2"/>
        <v>8</v>
      </c>
      <c r="I18" s="79">
        <f>Outputs!B16</f>
        <v>7.5259516494398118E-2</v>
      </c>
      <c r="J18" s="75">
        <f t="shared" si="3"/>
        <v>74.561219777707066</v>
      </c>
      <c r="K18" s="80" t="str">
        <f t="shared" si="4"/>
        <v>N5</v>
      </c>
      <c r="L18" s="16"/>
      <c r="M18" s="81">
        <v>10</v>
      </c>
      <c r="N18" s="82" t="str">
        <f>VLOOKUP(M18,'Final Dist'!$H$9:$K$18,4,0)</f>
        <v>S5</v>
      </c>
      <c r="O18" s="82">
        <f>VLOOKUP(M18,'Final Dist'!$H$9:$K$18,2,0)</f>
        <v>0.11762870230290486</v>
      </c>
      <c r="P18" s="148">
        <f>SUM($O$9:O17)+O18/2</f>
        <v>0.9411856488485475</v>
      </c>
      <c r="Q18" s="83">
        <f>VLOOKUP(M18,'Final Dist'!$H$9:$K$18,3,0)</f>
        <v>77.323203978587571</v>
      </c>
    </row>
    <row r="19" spans="1:17" ht="15.75" x14ac:dyDescent="0.25">
      <c r="A19" s="16"/>
      <c r="B19" s="16"/>
      <c r="C19" s="16"/>
      <c r="D19" s="16"/>
      <c r="E19" s="16"/>
      <c r="F19" s="16"/>
      <c r="G19" s="16"/>
      <c r="H19" s="16"/>
      <c r="I19" s="16"/>
      <c r="J19" s="16"/>
      <c r="K19" s="16"/>
      <c r="L19" s="16"/>
      <c r="M19" s="16"/>
      <c r="N19" s="16"/>
      <c r="O19" s="16"/>
      <c r="P19" s="26"/>
      <c r="Q19" s="26"/>
    </row>
    <row r="20" spans="1:17" ht="15.75" x14ac:dyDescent="0.25">
      <c r="A20" s="28" t="s">
        <v>105</v>
      </c>
      <c r="B20" s="16"/>
      <c r="C20" s="16"/>
      <c r="D20" s="16"/>
      <c r="E20" s="16"/>
      <c r="F20" s="16"/>
      <c r="G20" s="16"/>
      <c r="H20" s="16"/>
      <c r="I20" s="16"/>
      <c r="J20" s="16"/>
      <c r="K20" s="16"/>
      <c r="L20" s="16"/>
      <c r="M20" s="28" t="s">
        <v>107</v>
      </c>
      <c r="N20" s="16"/>
      <c r="O20" s="16"/>
      <c r="P20" s="26"/>
      <c r="Q20" s="26"/>
    </row>
    <row r="21" spans="1:17" ht="51" x14ac:dyDescent="0.25">
      <c r="A21" s="31" t="s">
        <v>62</v>
      </c>
      <c r="B21" s="62" t="s">
        <v>5</v>
      </c>
      <c r="C21" s="109" t="s">
        <v>110</v>
      </c>
      <c r="D21" s="109" t="s">
        <v>116</v>
      </c>
      <c r="E21" s="109" t="s">
        <v>111</v>
      </c>
      <c r="F21" s="110" t="s">
        <v>109</v>
      </c>
      <c r="G21" s="16"/>
      <c r="H21" s="16"/>
      <c r="I21" s="16"/>
      <c r="J21" s="16"/>
      <c r="K21" s="16"/>
      <c r="L21" s="16"/>
      <c r="M21" s="119" t="s">
        <v>115</v>
      </c>
      <c r="N21" s="62" t="s">
        <v>6</v>
      </c>
      <c r="O21" s="109" t="s">
        <v>69</v>
      </c>
      <c r="P21" s="109" t="s">
        <v>21</v>
      </c>
      <c r="Q21" s="63" t="s">
        <v>80</v>
      </c>
    </row>
    <row r="22" spans="1:17" ht="15.75" x14ac:dyDescent="0.25">
      <c r="A22" s="48" t="s">
        <v>4</v>
      </c>
      <c r="B22" s="139">
        <v>11239243</v>
      </c>
      <c r="C22" s="66">
        <f>Outputs!C21</f>
        <v>63.34426655613548</v>
      </c>
      <c r="D22" s="49">
        <f>'Net Calcs'!L22</f>
        <v>1532.3506909758619</v>
      </c>
      <c r="E22" s="67">
        <f>D22/B22</f>
        <v>1.3633931493214107E-4</v>
      </c>
      <c r="F22" s="68">
        <f>(C22*B22+D22)/B22</f>
        <v>63.344402895450415</v>
      </c>
      <c r="G22" s="16"/>
      <c r="H22" s="16"/>
      <c r="I22" s="16"/>
      <c r="J22" s="16"/>
      <c r="K22" s="16"/>
      <c r="L22" s="16"/>
      <c r="M22" s="72">
        <v>1</v>
      </c>
      <c r="N22" s="84" t="s">
        <v>4</v>
      </c>
      <c r="O22" s="73">
        <f>Outputs!B21</f>
        <v>0.20335871345020987</v>
      </c>
      <c r="P22" s="73">
        <f>O22/2</f>
        <v>0.10167935672510493</v>
      </c>
      <c r="Q22" s="74">
        <f>'Final Dist'!F22</f>
        <v>63.344402895450415</v>
      </c>
    </row>
    <row r="23" spans="1:17" ht="15.75" x14ac:dyDescent="0.25">
      <c r="A23" s="48" t="s">
        <v>0</v>
      </c>
      <c r="B23" s="139">
        <v>11382030</v>
      </c>
      <c r="C23" s="66">
        <f>Outputs!C22</f>
        <v>68.779325031978331</v>
      </c>
      <c r="D23" s="49">
        <f>'Net Calcs'!L23</f>
        <v>1083.4494407036395</v>
      </c>
      <c r="E23" s="67">
        <f>D23/B23</f>
        <v>9.5189473292869509E-5</v>
      </c>
      <c r="F23" s="68">
        <f>(C23*B23+D23)/B23</f>
        <v>68.77942022145163</v>
      </c>
      <c r="G23" s="16"/>
      <c r="H23" s="16"/>
      <c r="I23" s="16"/>
      <c r="J23" s="16"/>
      <c r="K23" s="16"/>
      <c r="L23" s="16"/>
      <c r="M23" s="72">
        <v>2</v>
      </c>
      <c r="N23" s="84" t="s">
        <v>0</v>
      </c>
      <c r="O23" s="73">
        <f>Outputs!B22</f>
        <v>0.20594224871298647</v>
      </c>
      <c r="P23" s="73">
        <f>SUM($O$22:O22)+O23/2</f>
        <v>0.30632983780670309</v>
      </c>
      <c r="Q23" s="74">
        <f>'Final Dist'!F23</f>
        <v>68.77942022145163</v>
      </c>
    </row>
    <row r="24" spans="1:17" ht="15.75" x14ac:dyDescent="0.25">
      <c r="A24" s="48" t="s">
        <v>1</v>
      </c>
      <c r="B24" s="139">
        <v>11090316</v>
      </c>
      <c r="C24" s="66">
        <f>Outputs!C23</f>
        <v>70.865612456999756</v>
      </c>
      <c r="D24" s="49">
        <f>'Net Calcs'!L24</f>
        <v>1180.0998917941868</v>
      </c>
      <c r="E24" s="67">
        <f>D24/B24</f>
        <v>1.0640813947900013E-4</v>
      </c>
      <c r="F24" s="68">
        <f>(C24*B24+D24)/B24</f>
        <v>70.865718865139243</v>
      </c>
      <c r="G24" s="16"/>
      <c r="H24" s="16"/>
      <c r="I24" s="16"/>
      <c r="J24" s="16"/>
      <c r="K24" s="16"/>
      <c r="L24" s="16"/>
      <c r="M24" s="72">
        <v>3</v>
      </c>
      <c r="N24" s="84" t="s">
        <v>1</v>
      </c>
      <c r="O24" s="73">
        <f>Outputs!B23</f>
        <v>0.20066408329424656</v>
      </c>
      <c r="P24" s="73">
        <f>SUM($O$22:O23)+O24/2</f>
        <v>0.50963300381031962</v>
      </c>
      <c r="Q24" s="74">
        <f>'Final Dist'!F24</f>
        <v>70.865718865139243</v>
      </c>
    </row>
    <row r="25" spans="1:17" ht="15.75" x14ac:dyDescent="0.25">
      <c r="A25" s="48" t="s">
        <v>2</v>
      </c>
      <c r="B25" s="139">
        <v>10895919</v>
      </c>
      <c r="C25" s="66">
        <f>Outputs!C24</f>
        <v>74.325243200694047</v>
      </c>
      <c r="D25" s="49">
        <f>'Net Calcs'!L25</f>
        <v>694.15406480519698</v>
      </c>
      <c r="E25" s="67">
        <f>D25/B25</f>
        <v>6.370771155743696E-5</v>
      </c>
      <c r="F25" s="68">
        <f>(C25*B25+D25)/B25</f>
        <v>74.325306908405608</v>
      </c>
      <c r="G25" s="16"/>
      <c r="H25" s="16"/>
      <c r="I25" s="16"/>
      <c r="J25" s="16"/>
      <c r="K25" s="16"/>
      <c r="L25" s="16"/>
      <c r="M25" s="72">
        <v>4</v>
      </c>
      <c r="N25" s="84" t="s">
        <v>2</v>
      </c>
      <c r="O25" s="73">
        <f>Outputs!B24</f>
        <v>0.19714673574525413</v>
      </c>
      <c r="P25" s="73">
        <f>SUM($O$22:O24)+O25/2</f>
        <v>0.70853841333006995</v>
      </c>
      <c r="Q25" s="74">
        <f>'Final Dist'!F25</f>
        <v>74.325306908405608</v>
      </c>
    </row>
    <row r="26" spans="1:17" ht="15.75" x14ac:dyDescent="0.25">
      <c r="A26" s="53" t="s">
        <v>3</v>
      </c>
      <c r="B26" s="140">
        <v>10660559</v>
      </c>
      <c r="C26" s="75">
        <f>Outputs!C25</f>
        <v>76.245494462730292</v>
      </c>
      <c r="D26" s="54">
        <f>'Net Calcs'!L26</f>
        <v>656.21827400633481</v>
      </c>
      <c r="E26" s="76">
        <f>D26/B26</f>
        <v>6.1555709602689206E-5</v>
      </c>
      <c r="F26" s="77">
        <f>(C26*B26+D26)/B26</f>
        <v>76.245556018439885</v>
      </c>
      <c r="G26" s="16"/>
      <c r="H26" s="16"/>
      <c r="I26" s="16"/>
      <c r="J26" s="16"/>
      <c r="K26" s="16"/>
      <c r="L26" s="16"/>
      <c r="M26" s="81">
        <v>5</v>
      </c>
      <c r="N26" s="85" t="s">
        <v>3</v>
      </c>
      <c r="O26" s="82">
        <f>Outputs!B25</f>
        <v>0.19288821879730297</v>
      </c>
      <c r="P26" s="82">
        <f>SUM($O$22:O25)+O26/2</f>
        <v>0.90355589060134844</v>
      </c>
      <c r="Q26" s="83">
        <f>'Final Dist'!F26</f>
        <v>76.245556018439885</v>
      </c>
    </row>
    <row r="27" spans="1:17" ht="15.75" x14ac:dyDescent="0.25">
      <c r="A27" s="16"/>
      <c r="B27" s="16"/>
      <c r="C27" s="16"/>
      <c r="D27" s="16"/>
      <c r="E27" s="16"/>
      <c r="F27" s="16"/>
      <c r="G27" s="16"/>
      <c r="H27" s="16"/>
      <c r="I27" s="16"/>
      <c r="J27" s="16"/>
      <c r="K27" s="16"/>
      <c r="L27" s="16"/>
      <c r="M27" s="16"/>
      <c r="N27" s="16"/>
      <c r="O27" s="16"/>
      <c r="P27" s="26"/>
      <c r="Q27" s="26"/>
    </row>
    <row r="28" spans="1:17" ht="15.75" x14ac:dyDescent="0.25">
      <c r="A28" s="15" t="s">
        <v>119</v>
      </c>
      <c r="B28" s="16"/>
      <c r="C28" s="16"/>
      <c r="D28" s="16"/>
      <c r="E28" s="16"/>
      <c r="F28" s="16"/>
      <c r="G28" s="16"/>
      <c r="H28" s="16"/>
      <c r="I28" s="16"/>
      <c r="J28" s="16"/>
      <c r="K28" s="16"/>
      <c r="L28" s="16"/>
      <c r="M28" s="16"/>
      <c r="N28" s="16"/>
      <c r="O28" s="16"/>
      <c r="P28" s="26"/>
      <c r="Q28" s="26"/>
    </row>
    <row r="29" spans="1:17" ht="15.75" x14ac:dyDescent="0.25">
      <c r="A29" s="16"/>
      <c r="B29" s="16"/>
      <c r="C29" s="16"/>
      <c r="D29" s="16"/>
      <c r="E29" s="16"/>
      <c r="F29" s="16"/>
      <c r="G29" s="16"/>
      <c r="H29" s="16"/>
      <c r="I29" s="16"/>
      <c r="J29" s="16"/>
      <c r="K29" s="16"/>
      <c r="L29" s="16"/>
      <c r="M29" s="16"/>
      <c r="N29" s="16"/>
      <c r="O29" s="16"/>
      <c r="P29" s="26"/>
      <c r="Q29" s="26"/>
    </row>
    <row r="30" spans="1:17" ht="15.75" x14ac:dyDescent="0.25">
      <c r="A30" s="28" t="s">
        <v>104</v>
      </c>
      <c r="B30" s="16"/>
      <c r="C30" s="16"/>
      <c r="D30" s="16"/>
      <c r="E30" s="16"/>
      <c r="F30" s="16"/>
      <c r="G30" s="16"/>
      <c r="H30" s="28" t="s">
        <v>106</v>
      </c>
      <c r="I30" s="16"/>
      <c r="J30" s="16"/>
      <c r="K30" s="16"/>
      <c r="L30" s="16"/>
      <c r="M30" s="28" t="s">
        <v>108</v>
      </c>
      <c r="N30" s="16"/>
      <c r="O30" s="16"/>
      <c r="P30" s="26"/>
      <c r="Q30" s="26"/>
    </row>
    <row r="31" spans="1:17" ht="57" customHeight="1" x14ac:dyDescent="0.25">
      <c r="A31" s="61" t="s">
        <v>6</v>
      </c>
      <c r="B31" s="62" t="s">
        <v>5</v>
      </c>
      <c r="C31" s="109" t="s">
        <v>110</v>
      </c>
      <c r="D31" s="109" t="s">
        <v>116</v>
      </c>
      <c r="E31" s="109" t="s">
        <v>111</v>
      </c>
      <c r="F31" s="110" t="s">
        <v>109</v>
      </c>
      <c r="G31" s="16"/>
      <c r="H31" s="61" t="s">
        <v>67</v>
      </c>
      <c r="I31" s="109" t="s">
        <v>68</v>
      </c>
      <c r="J31" s="62" t="s">
        <v>79</v>
      </c>
      <c r="K31" s="63" t="s">
        <v>6</v>
      </c>
      <c r="L31" s="16"/>
      <c r="M31" s="119" t="s">
        <v>114</v>
      </c>
      <c r="N31" s="62" t="s">
        <v>6</v>
      </c>
      <c r="O31" s="109" t="s">
        <v>69</v>
      </c>
      <c r="P31" s="109" t="s">
        <v>21</v>
      </c>
      <c r="Q31" s="63" t="s">
        <v>80</v>
      </c>
    </row>
    <row r="32" spans="1:17" ht="15.75" x14ac:dyDescent="0.25">
      <c r="A32" s="52" t="s">
        <v>7</v>
      </c>
      <c r="B32" s="139">
        <v>3959316</v>
      </c>
      <c r="C32" s="66">
        <f t="shared" ref="C32:C41" si="5">C9</f>
        <v>65.953454828519668</v>
      </c>
      <c r="D32" s="50"/>
      <c r="E32" s="86"/>
      <c r="F32" s="94"/>
      <c r="G32" s="16"/>
      <c r="H32" s="87"/>
      <c r="I32" s="70">
        <f>Outputs!B7</f>
        <v>7.1638401972697899E-2</v>
      </c>
      <c r="J32" s="66">
        <f t="shared" ref="J32:J41" si="6">F32</f>
        <v>0</v>
      </c>
      <c r="K32" s="71" t="str">
        <f t="shared" ref="K32:K41" si="7">A32</f>
        <v>S1</v>
      </c>
      <c r="L32" s="16"/>
      <c r="M32" s="72">
        <v>1</v>
      </c>
      <c r="N32" s="88"/>
      <c r="O32" s="88"/>
      <c r="P32" s="88"/>
      <c r="Q32" s="89"/>
    </row>
    <row r="33" spans="1:17" ht="15.75" x14ac:dyDescent="0.25">
      <c r="A33" s="52" t="s">
        <v>8</v>
      </c>
      <c r="B33" s="139">
        <v>6331048</v>
      </c>
      <c r="C33" s="66">
        <f t="shared" si="5"/>
        <v>70.344928147144799</v>
      </c>
      <c r="D33" s="50"/>
      <c r="E33" s="86"/>
      <c r="F33" s="94"/>
      <c r="G33" s="16"/>
      <c r="H33" s="87"/>
      <c r="I33" s="70">
        <f>Outputs!B8</f>
        <v>0.11455164516609564</v>
      </c>
      <c r="J33" s="66">
        <f t="shared" si="6"/>
        <v>0</v>
      </c>
      <c r="K33" s="71" t="str">
        <f t="shared" si="7"/>
        <v>S2</v>
      </c>
      <c r="L33" s="16"/>
      <c r="M33" s="72">
        <v>2</v>
      </c>
      <c r="N33" s="88"/>
      <c r="O33" s="88"/>
      <c r="P33" s="88"/>
      <c r="Q33" s="89"/>
    </row>
    <row r="34" spans="1:17" ht="15.75" x14ac:dyDescent="0.25">
      <c r="A34" s="52" t="s">
        <v>9</v>
      </c>
      <c r="B34" s="139">
        <v>6474305</v>
      </c>
      <c r="C34" s="66">
        <f t="shared" si="5"/>
        <v>72.213544204351976</v>
      </c>
      <c r="D34" s="50"/>
      <c r="E34" s="86"/>
      <c r="F34" s="94"/>
      <c r="G34" s="16"/>
      <c r="H34" s="87"/>
      <c r="I34" s="70">
        <f>Outputs!B9</f>
        <v>0.11714368443535396</v>
      </c>
      <c r="J34" s="66">
        <f t="shared" si="6"/>
        <v>0</v>
      </c>
      <c r="K34" s="71" t="str">
        <f t="shared" si="7"/>
        <v>S3</v>
      </c>
      <c r="L34" s="16"/>
      <c r="M34" s="72">
        <v>3</v>
      </c>
      <c r="N34" s="88"/>
      <c r="O34" s="88"/>
      <c r="P34" s="88"/>
      <c r="Q34" s="89"/>
    </row>
    <row r="35" spans="1:17" ht="15.75" x14ac:dyDescent="0.25">
      <c r="A35" s="52" t="s">
        <v>10</v>
      </c>
      <c r="B35" s="139">
        <v>6194904</v>
      </c>
      <c r="C35" s="66">
        <f t="shared" si="5"/>
        <v>75.597859352178702</v>
      </c>
      <c r="D35" s="50"/>
      <c r="E35" s="86"/>
      <c r="F35" s="94"/>
      <c r="G35" s="16"/>
      <c r="H35" s="87"/>
      <c r="I35" s="70">
        <f>Outputs!B10</f>
        <v>0.11208830589280425</v>
      </c>
      <c r="J35" s="66">
        <f t="shared" si="6"/>
        <v>0</v>
      </c>
      <c r="K35" s="71" t="str">
        <f t="shared" si="7"/>
        <v>S4</v>
      </c>
      <c r="L35" s="16"/>
      <c r="M35" s="72">
        <v>4</v>
      </c>
      <c r="N35" s="88"/>
      <c r="O35" s="88"/>
      <c r="P35" s="88"/>
      <c r="Q35" s="89"/>
    </row>
    <row r="36" spans="1:17" ht="15.75" x14ac:dyDescent="0.25">
      <c r="A36" s="52" t="s">
        <v>11</v>
      </c>
      <c r="B36" s="139">
        <v>6501111</v>
      </c>
      <c r="C36" s="66">
        <f t="shared" si="5"/>
        <v>77.323143845980766</v>
      </c>
      <c r="D36" s="50"/>
      <c r="E36" s="86"/>
      <c r="F36" s="94"/>
      <c r="G36" s="16"/>
      <c r="H36" s="87"/>
      <c r="I36" s="70">
        <f>Outputs!B11</f>
        <v>0.11762870230290486</v>
      </c>
      <c r="J36" s="66">
        <f t="shared" si="6"/>
        <v>0</v>
      </c>
      <c r="K36" s="71" t="str">
        <f t="shared" si="7"/>
        <v>S5</v>
      </c>
      <c r="L36" s="16"/>
      <c r="M36" s="72">
        <v>5</v>
      </c>
      <c r="N36" s="88"/>
      <c r="O36" s="88"/>
      <c r="P36" s="88"/>
      <c r="Q36" s="89"/>
    </row>
    <row r="37" spans="1:17" ht="15.75" x14ac:dyDescent="0.25">
      <c r="A37" s="52" t="s">
        <v>12</v>
      </c>
      <c r="B37" s="139">
        <v>7279927</v>
      </c>
      <c r="C37" s="66">
        <f t="shared" si="5"/>
        <v>61.925213745047813</v>
      </c>
      <c r="D37" s="50"/>
      <c r="E37" s="86"/>
      <c r="F37" s="94"/>
      <c r="G37" s="16"/>
      <c r="H37" s="87"/>
      <c r="I37" s="70">
        <f>Outputs!B12</f>
        <v>0.13172031147751195</v>
      </c>
      <c r="J37" s="66">
        <f t="shared" si="6"/>
        <v>0</v>
      </c>
      <c r="K37" s="71" t="str">
        <f t="shared" si="7"/>
        <v>N1</v>
      </c>
      <c r="L37" s="16"/>
      <c r="M37" s="72">
        <v>6</v>
      </c>
      <c r="N37" s="88"/>
      <c r="O37" s="88"/>
      <c r="P37" s="88"/>
      <c r="Q37" s="89"/>
    </row>
    <row r="38" spans="1:17" ht="15.75" x14ac:dyDescent="0.25">
      <c r="A38" s="52" t="s">
        <v>13</v>
      </c>
      <c r="B38" s="139">
        <v>5050982</v>
      </c>
      <c r="C38" s="66">
        <f t="shared" si="5"/>
        <v>66.81695247332172</v>
      </c>
      <c r="D38" s="50"/>
      <c r="E38" s="86"/>
      <c r="F38" s="94"/>
      <c r="G38" s="16"/>
      <c r="H38" s="87"/>
      <c r="I38" s="70">
        <f>Outputs!B13</f>
        <v>9.1390603546890825E-2</v>
      </c>
      <c r="J38" s="66">
        <f t="shared" si="6"/>
        <v>0</v>
      </c>
      <c r="K38" s="71" t="str">
        <f t="shared" si="7"/>
        <v>N2</v>
      </c>
      <c r="L38" s="16"/>
      <c r="M38" s="72">
        <v>7</v>
      </c>
      <c r="N38" s="88"/>
      <c r="O38" s="88"/>
      <c r="P38" s="88"/>
      <c r="Q38" s="89"/>
    </row>
    <row r="39" spans="1:17" ht="15.75" x14ac:dyDescent="0.25">
      <c r="A39" s="52" t="s">
        <v>14</v>
      </c>
      <c r="B39" s="139">
        <v>4616011</v>
      </c>
      <c r="C39" s="66">
        <f t="shared" si="5"/>
        <v>68.975036101886801</v>
      </c>
      <c r="D39" s="50"/>
      <c r="E39" s="86"/>
      <c r="F39" s="94"/>
      <c r="G39" s="16"/>
      <c r="H39" s="87"/>
      <c r="I39" s="70">
        <f>Outputs!B14</f>
        <v>8.3520398858892606E-2</v>
      </c>
      <c r="J39" s="66">
        <f t="shared" si="6"/>
        <v>0</v>
      </c>
      <c r="K39" s="71" t="str">
        <f t="shared" si="7"/>
        <v>N3</v>
      </c>
      <c r="L39" s="16"/>
      <c r="M39" s="72">
        <v>8</v>
      </c>
      <c r="N39" s="88"/>
      <c r="O39" s="88"/>
      <c r="P39" s="88"/>
      <c r="Q39" s="89"/>
    </row>
    <row r="40" spans="1:17" ht="15.75" x14ac:dyDescent="0.25">
      <c r="A40" s="52" t="s">
        <v>15</v>
      </c>
      <c r="B40" s="139">
        <v>4701015</v>
      </c>
      <c r="C40" s="66">
        <f t="shared" si="5"/>
        <v>72.648214965877315</v>
      </c>
      <c r="D40" s="50"/>
      <c r="E40" s="86"/>
      <c r="F40" s="94"/>
      <c r="G40" s="16"/>
      <c r="H40" s="87"/>
      <c r="I40" s="70">
        <f>Outputs!B15</f>
        <v>8.5058429852449879E-2</v>
      </c>
      <c r="J40" s="66">
        <f t="shared" si="6"/>
        <v>0</v>
      </c>
      <c r="K40" s="71" t="str">
        <f t="shared" si="7"/>
        <v>N4</v>
      </c>
      <c r="L40" s="16"/>
      <c r="M40" s="72">
        <v>9</v>
      </c>
      <c r="N40" s="88"/>
      <c r="O40" s="88"/>
      <c r="P40" s="88"/>
      <c r="Q40" s="89"/>
    </row>
    <row r="41" spans="1:17" ht="15.75" x14ac:dyDescent="0.25">
      <c r="A41" s="58" t="s">
        <v>16</v>
      </c>
      <c r="B41" s="140">
        <v>4159448</v>
      </c>
      <c r="C41" s="75">
        <f t="shared" si="5"/>
        <v>74.561155997724143</v>
      </c>
      <c r="D41" s="55"/>
      <c r="E41" s="90"/>
      <c r="F41" s="95"/>
      <c r="G41" s="16"/>
      <c r="H41" s="91"/>
      <c r="I41" s="79">
        <f>Outputs!B16</f>
        <v>7.5259516494398118E-2</v>
      </c>
      <c r="J41" s="75">
        <f t="shared" si="6"/>
        <v>0</v>
      </c>
      <c r="K41" s="80" t="str">
        <f t="shared" si="7"/>
        <v>N5</v>
      </c>
      <c r="L41" s="16"/>
      <c r="M41" s="81">
        <v>10</v>
      </c>
      <c r="N41" s="92"/>
      <c r="O41" s="92"/>
      <c r="P41" s="92"/>
      <c r="Q41" s="93"/>
    </row>
    <row r="42" spans="1:17" ht="15.75" x14ac:dyDescent="0.25">
      <c r="A42" s="16"/>
      <c r="B42" s="16"/>
      <c r="C42" s="16"/>
      <c r="D42" s="16"/>
      <c r="E42" s="16"/>
      <c r="F42" s="16"/>
      <c r="G42" s="16"/>
      <c r="H42" s="16"/>
      <c r="I42" s="16"/>
      <c r="J42" s="16"/>
      <c r="K42" s="16"/>
      <c r="L42" s="16"/>
      <c r="M42" s="16"/>
      <c r="N42" s="16"/>
      <c r="O42" s="16"/>
      <c r="P42" s="26"/>
      <c r="Q42" s="26"/>
    </row>
    <row r="43" spans="1:17" ht="15.75" x14ac:dyDescent="0.25">
      <c r="A43" s="28" t="s">
        <v>105</v>
      </c>
      <c r="B43" s="16"/>
      <c r="C43" s="16"/>
      <c r="D43" s="16"/>
      <c r="E43" s="16"/>
      <c r="F43" s="16"/>
      <c r="G43" s="16"/>
      <c r="H43" s="16"/>
      <c r="I43" s="16"/>
      <c r="J43" s="16"/>
      <c r="K43" s="16"/>
      <c r="L43" s="16"/>
      <c r="M43" s="28" t="s">
        <v>107</v>
      </c>
      <c r="N43" s="16"/>
      <c r="O43" s="16"/>
      <c r="P43" s="26"/>
      <c r="Q43" s="26"/>
    </row>
    <row r="44" spans="1:17" ht="51" x14ac:dyDescent="0.25">
      <c r="A44" s="31" t="s">
        <v>62</v>
      </c>
      <c r="B44" s="62" t="s">
        <v>5</v>
      </c>
      <c r="C44" s="109" t="s">
        <v>110</v>
      </c>
      <c r="D44" s="109" t="s">
        <v>116</v>
      </c>
      <c r="E44" s="109" t="s">
        <v>111</v>
      </c>
      <c r="F44" s="110" t="s">
        <v>109</v>
      </c>
      <c r="G44" s="16"/>
      <c r="H44" s="16"/>
      <c r="I44" s="16"/>
      <c r="J44" s="16"/>
      <c r="K44" s="16"/>
      <c r="L44" s="16"/>
      <c r="M44" s="119" t="s">
        <v>115</v>
      </c>
      <c r="N44" s="62" t="s">
        <v>6</v>
      </c>
      <c r="O44" s="109" t="s">
        <v>69</v>
      </c>
      <c r="P44" s="109" t="s">
        <v>21</v>
      </c>
      <c r="Q44" s="63" t="s">
        <v>80</v>
      </c>
    </row>
    <row r="45" spans="1:17" ht="15.75" x14ac:dyDescent="0.25">
      <c r="A45" s="48" t="s">
        <v>4</v>
      </c>
      <c r="B45" s="139">
        <v>11239243</v>
      </c>
      <c r="C45" s="66">
        <f>Outputs!C21</f>
        <v>63.34426655613548</v>
      </c>
      <c r="D45" s="49">
        <f>'Net Calcs'!M22</f>
        <v>1974.958220874883</v>
      </c>
      <c r="E45" s="67">
        <f>D45/B45</f>
        <v>1.7571986128201721E-4</v>
      </c>
      <c r="F45" s="68">
        <f>C45+E45</f>
        <v>63.344442275996762</v>
      </c>
      <c r="G45" s="16"/>
      <c r="H45" s="16"/>
      <c r="I45" s="16"/>
      <c r="J45" s="16"/>
      <c r="K45" s="16"/>
      <c r="L45" s="16"/>
      <c r="M45" s="72">
        <v>1</v>
      </c>
      <c r="N45" s="84" t="s">
        <v>4</v>
      </c>
      <c r="O45" s="73">
        <f>Outputs!B21</f>
        <v>0.20335871345020987</v>
      </c>
      <c r="P45" s="73">
        <f>O45/2</f>
        <v>0.10167935672510493</v>
      </c>
      <c r="Q45" s="74">
        <f>F45</f>
        <v>63.344442275996762</v>
      </c>
    </row>
    <row r="46" spans="1:17" ht="15.75" x14ac:dyDescent="0.25">
      <c r="A46" s="48" t="s">
        <v>0</v>
      </c>
      <c r="B46" s="139">
        <v>11382030</v>
      </c>
      <c r="C46" s="66">
        <f>Outputs!C22</f>
        <v>68.779325031978331</v>
      </c>
      <c r="D46" s="49">
        <f>'Net Calcs'!M23</f>
        <v>1096.9290882681537</v>
      </c>
      <c r="E46" s="67">
        <f t="shared" ref="E46:E49" si="8">D46/B46</f>
        <v>9.6373765336073942E-5</v>
      </c>
      <c r="F46" s="68">
        <f t="shared" ref="F46:F49" si="9">C46+E46</f>
        <v>68.779421405743662</v>
      </c>
      <c r="G46" s="16"/>
      <c r="H46" s="16"/>
      <c r="I46" s="16"/>
      <c r="J46" s="16"/>
      <c r="K46" s="16"/>
      <c r="L46" s="16"/>
      <c r="M46" s="72">
        <v>2</v>
      </c>
      <c r="N46" s="84" t="s">
        <v>0</v>
      </c>
      <c r="O46" s="73">
        <f>Outputs!B22</f>
        <v>0.20594224871298647</v>
      </c>
      <c r="P46" s="73">
        <f>SUM($O$45:O45)+O46/2</f>
        <v>0.30632983780670309</v>
      </c>
      <c r="Q46" s="74">
        <f>F46</f>
        <v>68.779421405743662</v>
      </c>
    </row>
    <row r="47" spans="1:17" ht="15.75" x14ac:dyDescent="0.25">
      <c r="A47" s="48" t="s">
        <v>1</v>
      </c>
      <c r="B47" s="139">
        <v>11090316</v>
      </c>
      <c r="C47" s="66">
        <f>Outputs!C23</f>
        <v>70.865612456999756</v>
      </c>
      <c r="D47" s="49">
        <f>'Net Calcs'!M24</f>
        <v>960.41492363941234</v>
      </c>
      <c r="E47" s="67">
        <f t="shared" si="8"/>
        <v>8.6599419136426076E-5</v>
      </c>
      <c r="F47" s="68">
        <f t="shared" si="9"/>
        <v>70.86569905641889</v>
      </c>
      <c r="G47" s="16"/>
      <c r="H47" s="16"/>
      <c r="I47" s="16"/>
      <c r="J47" s="16"/>
      <c r="K47" s="16"/>
      <c r="L47" s="16"/>
      <c r="M47" s="72">
        <v>3</v>
      </c>
      <c r="N47" s="84" t="s">
        <v>1</v>
      </c>
      <c r="O47" s="73">
        <f>Outputs!B23</f>
        <v>0.20066408329424656</v>
      </c>
      <c r="P47" s="73">
        <f>SUM($O$45:O46)+O47/2</f>
        <v>0.50963300381031962</v>
      </c>
      <c r="Q47" s="74">
        <f>F47</f>
        <v>70.86569905641889</v>
      </c>
    </row>
    <row r="48" spans="1:17" ht="15.75" x14ac:dyDescent="0.25">
      <c r="A48" s="48" t="s">
        <v>2</v>
      </c>
      <c r="B48" s="139">
        <v>10895919</v>
      </c>
      <c r="C48" s="66">
        <f>Outputs!C24</f>
        <v>74.325243200694047</v>
      </c>
      <c r="D48" s="49">
        <f>'Net Calcs'!M25</f>
        <v>464.69279621665049</v>
      </c>
      <c r="E48" s="67">
        <f t="shared" si="8"/>
        <v>4.2648334318257183E-5</v>
      </c>
      <c r="F48" s="68">
        <f t="shared" si="9"/>
        <v>74.325285849028361</v>
      </c>
      <c r="G48" s="16"/>
      <c r="H48" s="16"/>
      <c r="I48" s="16"/>
      <c r="J48" s="16"/>
      <c r="K48" s="16"/>
      <c r="L48" s="16"/>
      <c r="M48" s="72">
        <v>4</v>
      </c>
      <c r="N48" s="84" t="s">
        <v>2</v>
      </c>
      <c r="O48" s="73">
        <f>Outputs!B24</f>
        <v>0.19714673574525413</v>
      </c>
      <c r="P48" s="73">
        <f>SUM($O$45:O47)+O48/2</f>
        <v>0.70853841333006995</v>
      </c>
      <c r="Q48" s="74">
        <f>F48</f>
        <v>74.325285849028361</v>
      </c>
    </row>
    <row r="49" spans="1:17" ht="15.75" x14ac:dyDescent="0.25">
      <c r="A49" s="53" t="s">
        <v>3</v>
      </c>
      <c r="B49" s="140">
        <v>10660559</v>
      </c>
      <c r="C49" s="75">
        <f>Outputs!C25</f>
        <v>76.245494462730292</v>
      </c>
      <c r="D49" s="54">
        <f>'Net Calcs'!M26</f>
        <v>457.74896657660213</v>
      </c>
      <c r="E49" s="76">
        <f t="shared" si="8"/>
        <v>4.293855196304454E-5</v>
      </c>
      <c r="F49" s="77">
        <f t="shared" si="9"/>
        <v>76.245537401282249</v>
      </c>
      <c r="G49" s="16"/>
      <c r="H49" s="16"/>
      <c r="I49" s="16"/>
      <c r="J49" s="16"/>
      <c r="K49" s="16"/>
      <c r="L49" s="16"/>
      <c r="M49" s="81">
        <v>5</v>
      </c>
      <c r="N49" s="85" t="s">
        <v>3</v>
      </c>
      <c r="O49" s="82">
        <f>Outputs!B25</f>
        <v>0.19288821879730297</v>
      </c>
      <c r="P49" s="82">
        <f>SUM($O$45:O48)+O49/2</f>
        <v>0.90355589060134844</v>
      </c>
      <c r="Q49" s="83">
        <f>F49</f>
        <v>76.245537401282249</v>
      </c>
    </row>
    <row r="50" spans="1:17" ht="15.75" x14ac:dyDescent="0.25">
      <c r="A50" s="16"/>
      <c r="B50" s="16"/>
      <c r="C50" s="16"/>
      <c r="D50" s="16"/>
      <c r="E50" s="16"/>
      <c r="F50" s="16"/>
      <c r="G50" s="16"/>
      <c r="H50" s="16"/>
      <c r="I50" s="16"/>
      <c r="J50" s="16"/>
      <c r="K50" s="16"/>
      <c r="L50" s="16"/>
      <c r="M50" s="16"/>
      <c r="N50" s="16"/>
      <c r="O50" s="16"/>
      <c r="P50" s="26"/>
      <c r="Q50" s="26"/>
    </row>
    <row r="51" spans="1:17" ht="15.75" x14ac:dyDescent="0.25">
      <c r="A51" s="15" t="s">
        <v>117</v>
      </c>
      <c r="B51" s="16"/>
      <c r="C51" s="16"/>
      <c r="D51" s="16"/>
      <c r="E51" s="16"/>
      <c r="F51" s="16"/>
      <c r="G51" s="16"/>
      <c r="H51" s="16"/>
      <c r="I51" s="16"/>
      <c r="J51" s="16"/>
      <c r="K51" s="16"/>
      <c r="L51" s="16"/>
      <c r="M51" s="16"/>
      <c r="N51" s="16"/>
      <c r="O51" s="16"/>
      <c r="P51" s="26"/>
      <c r="Q51" s="26"/>
    </row>
    <row r="52" spans="1:17" ht="15.75" x14ac:dyDescent="0.25">
      <c r="A52" s="16"/>
      <c r="B52" s="16"/>
      <c r="C52" s="16"/>
      <c r="D52" s="16"/>
      <c r="E52" s="16"/>
      <c r="F52" s="16"/>
      <c r="G52" s="16"/>
      <c r="H52" s="16"/>
      <c r="I52" s="16"/>
      <c r="J52" s="16"/>
      <c r="K52" s="16"/>
      <c r="L52" s="16"/>
      <c r="M52" s="16"/>
      <c r="N52" s="16"/>
      <c r="O52" s="16"/>
      <c r="P52" s="26"/>
      <c r="Q52" s="26"/>
    </row>
    <row r="53" spans="1:17" ht="15.75" x14ac:dyDescent="0.25">
      <c r="A53" s="28" t="s">
        <v>104</v>
      </c>
      <c r="B53" s="16"/>
      <c r="C53" s="16"/>
      <c r="D53" s="16"/>
      <c r="E53" s="16"/>
      <c r="F53" s="16"/>
      <c r="G53" s="16"/>
      <c r="H53" s="28" t="s">
        <v>106</v>
      </c>
      <c r="I53" s="16"/>
      <c r="J53" s="16"/>
      <c r="K53" s="16"/>
      <c r="L53" s="16"/>
      <c r="M53" s="28" t="s">
        <v>108</v>
      </c>
      <c r="N53" s="16"/>
      <c r="O53" s="16"/>
      <c r="P53" s="26"/>
      <c r="Q53" s="26"/>
    </row>
    <row r="54" spans="1:17" ht="51" x14ac:dyDescent="0.25">
      <c r="A54" s="61" t="s">
        <v>6</v>
      </c>
      <c r="B54" s="62" t="s">
        <v>5</v>
      </c>
      <c r="C54" s="109" t="s">
        <v>110</v>
      </c>
      <c r="D54" s="109" t="s">
        <v>116</v>
      </c>
      <c r="E54" s="109" t="s">
        <v>111</v>
      </c>
      <c r="F54" s="110" t="s">
        <v>109</v>
      </c>
      <c r="G54" s="16"/>
      <c r="H54" s="61" t="s">
        <v>67</v>
      </c>
      <c r="I54" s="109" t="s">
        <v>68</v>
      </c>
      <c r="J54" s="62" t="s">
        <v>79</v>
      </c>
      <c r="K54" s="63" t="s">
        <v>6</v>
      </c>
      <c r="L54" s="16"/>
      <c r="M54" s="119" t="s">
        <v>114</v>
      </c>
      <c r="N54" s="64" t="s">
        <v>6</v>
      </c>
      <c r="O54" s="111" t="s">
        <v>69</v>
      </c>
      <c r="P54" s="111" t="s">
        <v>21</v>
      </c>
      <c r="Q54" s="65" t="s">
        <v>80</v>
      </c>
    </row>
    <row r="55" spans="1:17" ht="15.75" x14ac:dyDescent="0.25">
      <c r="A55" s="52" t="s">
        <v>7</v>
      </c>
      <c r="B55" s="139">
        <v>3959316</v>
      </c>
      <c r="C55" s="66">
        <f t="shared" ref="C55:C64" si="10">F9</f>
        <v>65.95356057161824</v>
      </c>
      <c r="D55" s="50"/>
      <c r="E55" s="86"/>
      <c r="F55" s="94"/>
      <c r="G55" s="16"/>
      <c r="H55" s="87"/>
      <c r="I55" s="70">
        <f>Outputs!B7</f>
        <v>7.1638401972697899E-2</v>
      </c>
      <c r="J55" s="66">
        <f t="shared" ref="J55:J64" si="11">F55</f>
        <v>0</v>
      </c>
      <c r="K55" s="71" t="str">
        <f t="shared" ref="K55:K64" si="12">A55</f>
        <v>S1</v>
      </c>
      <c r="L55" s="16"/>
      <c r="M55" s="72">
        <v>1</v>
      </c>
      <c r="N55" s="88"/>
      <c r="O55" s="88"/>
      <c r="P55" s="88"/>
      <c r="Q55" s="89"/>
    </row>
    <row r="56" spans="1:17" ht="15.75" x14ac:dyDescent="0.25">
      <c r="A56" s="52" t="s">
        <v>8</v>
      </c>
      <c r="B56" s="139">
        <v>6331048</v>
      </c>
      <c r="C56" s="66">
        <f t="shared" si="10"/>
        <v>70.345009341331306</v>
      </c>
      <c r="D56" s="50"/>
      <c r="E56" s="86"/>
      <c r="F56" s="94"/>
      <c r="G56" s="16"/>
      <c r="H56" s="87"/>
      <c r="I56" s="70">
        <f>Outputs!B8</f>
        <v>0.11455164516609564</v>
      </c>
      <c r="J56" s="66">
        <f t="shared" si="11"/>
        <v>0</v>
      </c>
      <c r="K56" s="71" t="str">
        <f t="shared" si="12"/>
        <v>S2</v>
      </c>
      <c r="L56" s="16"/>
      <c r="M56" s="72">
        <v>2</v>
      </c>
      <c r="N56" s="88"/>
      <c r="O56" s="88"/>
      <c r="P56" s="88"/>
      <c r="Q56" s="89"/>
    </row>
    <row r="57" spans="1:17" ht="15.75" x14ac:dyDescent="0.25">
      <c r="A57" s="52" t="s">
        <v>9</v>
      </c>
      <c r="B57" s="139">
        <v>6474305</v>
      </c>
      <c r="C57" s="66">
        <f t="shared" si="10"/>
        <v>72.213646949791766</v>
      </c>
      <c r="D57" s="50"/>
      <c r="E57" s="86"/>
      <c r="F57" s="94"/>
      <c r="G57" s="16"/>
      <c r="H57" s="87"/>
      <c r="I57" s="70">
        <f>Outputs!B9</f>
        <v>0.11714368443535396</v>
      </c>
      <c r="J57" s="66">
        <f>F57</f>
        <v>0</v>
      </c>
      <c r="K57" s="71" t="str">
        <f t="shared" si="12"/>
        <v>S3</v>
      </c>
      <c r="L57" s="16"/>
      <c r="M57" s="72">
        <v>3</v>
      </c>
      <c r="N57" s="88"/>
      <c r="O57" s="88"/>
      <c r="P57" s="88"/>
      <c r="Q57" s="89"/>
    </row>
    <row r="58" spans="1:17" ht="15.75" x14ac:dyDescent="0.25">
      <c r="A58" s="52" t="s">
        <v>10</v>
      </c>
      <c r="B58" s="139">
        <v>6194904</v>
      </c>
      <c r="C58" s="66">
        <f t="shared" si="10"/>
        <v>75.597916460553989</v>
      </c>
      <c r="D58" s="50"/>
      <c r="E58" s="86"/>
      <c r="F58" s="94"/>
      <c r="G58" s="16"/>
      <c r="H58" s="87"/>
      <c r="I58" s="70">
        <f>Outputs!B10</f>
        <v>0.11208830589280425</v>
      </c>
      <c r="J58" s="66">
        <f t="shared" si="11"/>
        <v>0</v>
      </c>
      <c r="K58" s="71" t="str">
        <f t="shared" si="12"/>
        <v>S4</v>
      </c>
      <c r="L58" s="16"/>
      <c r="M58" s="72">
        <v>4</v>
      </c>
      <c r="N58" s="88"/>
      <c r="O58" s="88"/>
      <c r="P58" s="88"/>
      <c r="Q58" s="89"/>
    </row>
    <row r="59" spans="1:17" ht="15.75" x14ac:dyDescent="0.25">
      <c r="A59" s="52" t="s">
        <v>11</v>
      </c>
      <c r="B59" s="139">
        <v>6501111</v>
      </c>
      <c r="C59" s="66">
        <f t="shared" si="10"/>
        <v>77.323203978587571</v>
      </c>
      <c r="D59" s="50"/>
      <c r="E59" s="86"/>
      <c r="F59" s="94"/>
      <c r="G59" s="16"/>
      <c r="H59" s="87"/>
      <c r="I59" s="70">
        <f>Outputs!B11</f>
        <v>0.11762870230290486</v>
      </c>
      <c r="J59" s="66">
        <f t="shared" si="11"/>
        <v>0</v>
      </c>
      <c r="K59" s="71" t="str">
        <f t="shared" si="12"/>
        <v>S5</v>
      </c>
      <c r="L59" s="16"/>
      <c r="M59" s="72">
        <v>5</v>
      </c>
      <c r="N59" s="88"/>
      <c r="O59" s="88"/>
      <c r="P59" s="88"/>
      <c r="Q59" s="89"/>
    </row>
    <row r="60" spans="1:17" ht="15.75" x14ac:dyDescent="0.25">
      <c r="A60" s="52" t="s">
        <v>12</v>
      </c>
      <c r="B60" s="139">
        <v>7279927</v>
      </c>
      <c r="C60" s="66">
        <f t="shared" si="10"/>
        <v>61.92536672465171</v>
      </c>
      <c r="D60" s="50"/>
      <c r="E60" s="86"/>
      <c r="F60" s="94"/>
      <c r="G60" s="16"/>
      <c r="H60" s="87"/>
      <c r="I60" s="70">
        <f>Outputs!B12</f>
        <v>0.13172031147751195</v>
      </c>
      <c r="J60" s="66">
        <f t="shared" si="11"/>
        <v>0</v>
      </c>
      <c r="K60" s="71" t="str">
        <f t="shared" si="12"/>
        <v>N1</v>
      </c>
      <c r="L60" s="16"/>
      <c r="M60" s="72">
        <v>6</v>
      </c>
      <c r="N60" s="88"/>
      <c r="O60" s="88"/>
      <c r="P60" s="88"/>
      <c r="Q60" s="89"/>
    </row>
    <row r="61" spans="1:17" ht="15.75" x14ac:dyDescent="0.25">
      <c r="A61" s="52" t="s">
        <v>13</v>
      </c>
      <c r="B61" s="139">
        <v>5050982</v>
      </c>
      <c r="C61" s="66">
        <f t="shared" si="10"/>
        <v>66.817065204895215</v>
      </c>
      <c r="D61" s="50"/>
      <c r="E61" s="86"/>
      <c r="F61" s="94"/>
      <c r="G61" s="16"/>
      <c r="H61" s="87"/>
      <c r="I61" s="70">
        <f>Outputs!B13</f>
        <v>9.1390603546890825E-2</v>
      </c>
      <c r="J61" s="66">
        <f t="shared" si="11"/>
        <v>0</v>
      </c>
      <c r="K61" s="71" t="str">
        <f t="shared" si="12"/>
        <v>N2</v>
      </c>
      <c r="L61" s="16"/>
      <c r="M61" s="72">
        <v>7</v>
      </c>
      <c r="N61" s="88"/>
      <c r="O61" s="88"/>
      <c r="P61" s="88"/>
      <c r="Q61" s="89"/>
    </row>
    <row r="62" spans="1:17" ht="15.75" x14ac:dyDescent="0.25">
      <c r="A62" s="52" t="s">
        <v>14</v>
      </c>
      <c r="B62" s="139">
        <v>4616011</v>
      </c>
      <c r="C62" s="66">
        <f t="shared" si="10"/>
        <v>68.975147647239979</v>
      </c>
      <c r="D62" s="50"/>
      <c r="E62" s="86"/>
      <c r="F62" s="94"/>
      <c r="G62" s="16"/>
      <c r="H62" s="87"/>
      <c r="I62" s="70">
        <f>Outputs!B14</f>
        <v>8.3520398858892606E-2</v>
      </c>
      <c r="J62" s="66">
        <f t="shared" si="11"/>
        <v>0</v>
      </c>
      <c r="K62" s="71" t="str">
        <f t="shared" si="12"/>
        <v>N3</v>
      </c>
      <c r="L62" s="16"/>
      <c r="M62" s="72">
        <v>8</v>
      </c>
      <c r="N62" s="88"/>
      <c r="O62" s="88"/>
      <c r="P62" s="88"/>
      <c r="Q62" s="89"/>
    </row>
    <row r="63" spans="1:17" ht="15.75" x14ac:dyDescent="0.25">
      <c r="A63" s="52" t="s">
        <v>15</v>
      </c>
      <c r="B63" s="139">
        <v>4701015</v>
      </c>
      <c r="C63" s="66">
        <f t="shared" si="10"/>
        <v>72.64828737006286</v>
      </c>
      <c r="D63" s="50"/>
      <c r="E63" s="86"/>
      <c r="F63" s="94"/>
      <c r="G63" s="16"/>
      <c r="H63" s="87"/>
      <c r="I63" s="70">
        <f>Outputs!B15</f>
        <v>8.5058429852449879E-2</v>
      </c>
      <c r="J63" s="66">
        <f t="shared" si="11"/>
        <v>0</v>
      </c>
      <c r="K63" s="71" t="str">
        <f t="shared" si="12"/>
        <v>N4</v>
      </c>
      <c r="L63" s="16"/>
      <c r="M63" s="72">
        <v>9</v>
      </c>
      <c r="N63" s="88"/>
      <c r="O63" s="88"/>
      <c r="P63" s="88"/>
      <c r="Q63" s="89"/>
    </row>
    <row r="64" spans="1:17" ht="15.75" x14ac:dyDescent="0.25">
      <c r="A64" s="58" t="s">
        <v>16</v>
      </c>
      <c r="B64" s="140">
        <v>4159448</v>
      </c>
      <c r="C64" s="75">
        <f t="shared" si="10"/>
        <v>74.561219777707066</v>
      </c>
      <c r="D64" s="55"/>
      <c r="E64" s="90"/>
      <c r="F64" s="95"/>
      <c r="G64" s="16"/>
      <c r="H64" s="91"/>
      <c r="I64" s="79">
        <f>Outputs!B16</f>
        <v>7.5259516494398118E-2</v>
      </c>
      <c r="J64" s="75">
        <f t="shared" si="11"/>
        <v>0</v>
      </c>
      <c r="K64" s="80" t="str">
        <f t="shared" si="12"/>
        <v>N5</v>
      </c>
      <c r="L64" s="16"/>
      <c r="M64" s="81">
        <v>10</v>
      </c>
      <c r="N64" s="92"/>
      <c r="O64" s="92"/>
      <c r="P64" s="92"/>
      <c r="Q64" s="93"/>
    </row>
    <row r="65" spans="1:17" ht="15.75" x14ac:dyDescent="0.25">
      <c r="A65" s="16"/>
      <c r="B65" s="16"/>
      <c r="C65" s="16"/>
      <c r="D65" s="16"/>
      <c r="E65" s="16"/>
      <c r="F65" s="16"/>
      <c r="G65" s="16"/>
      <c r="H65" s="16"/>
      <c r="I65" s="16"/>
      <c r="J65" s="16"/>
      <c r="K65" s="16"/>
      <c r="L65" s="16"/>
      <c r="M65" s="16"/>
      <c r="N65" s="16"/>
      <c r="O65" s="16"/>
      <c r="P65" s="26"/>
      <c r="Q65" s="26"/>
    </row>
    <row r="66" spans="1:17" ht="15.75" x14ac:dyDescent="0.25">
      <c r="A66" s="28" t="s">
        <v>105</v>
      </c>
      <c r="B66" s="16"/>
      <c r="C66" s="16"/>
      <c r="D66" s="16"/>
      <c r="E66" s="16"/>
      <c r="F66" s="16"/>
      <c r="G66" s="16"/>
      <c r="H66" s="16"/>
      <c r="I66" s="16"/>
      <c r="J66" s="16"/>
      <c r="K66" s="16"/>
      <c r="L66" s="16"/>
      <c r="M66" s="28" t="s">
        <v>107</v>
      </c>
      <c r="N66" s="16"/>
      <c r="O66" s="16"/>
      <c r="P66" s="26"/>
      <c r="Q66" s="26"/>
    </row>
    <row r="67" spans="1:17" ht="51" x14ac:dyDescent="0.25">
      <c r="A67" s="31" t="s">
        <v>62</v>
      </c>
      <c r="B67" s="62" t="s">
        <v>5</v>
      </c>
      <c r="C67" s="109" t="s">
        <v>110</v>
      </c>
      <c r="D67" s="109" t="s">
        <v>116</v>
      </c>
      <c r="E67" s="109" t="s">
        <v>111</v>
      </c>
      <c r="F67" s="110" t="s">
        <v>109</v>
      </c>
      <c r="G67" s="16"/>
      <c r="H67" s="16"/>
      <c r="I67" s="16"/>
      <c r="J67" s="16"/>
      <c r="K67" s="16"/>
      <c r="L67" s="16"/>
      <c r="M67" s="119" t="s">
        <v>115</v>
      </c>
      <c r="N67" s="64" t="s">
        <v>6</v>
      </c>
      <c r="O67" s="111" t="s">
        <v>69</v>
      </c>
      <c r="P67" s="111" t="s">
        <v>21</v>
      </c>
      <c r="Q67" s="65" t="s">
        <v>80</v>
      </c>
    </row>
    <row r="68" spans="1:17" ht="15.75" x14ac:dyDescent="0.25">
      <c r="A68" s="48" t="s">
        <v>4</v>
      </c>
      <c r="B68" s="139">
        <v>11239243</v>
      </c>
      <c r="C68" s="66">
        <f>F22</f>
        <v>63.344402895450415</v>
      </c>
      <c r="D68" s="49">
        <f>'Net Calcs'!N22</f>
        <v>442.60752989902113</v>
      </c>
      <c r="E68" s="67">
        <f>D68/B68</f>
        <v>3.9380546349876154E-5</v>
      </c>
      <c r="F68" s="68">
        <f>C68+E68</f>
        <v>63.344442275996762</v>
      </c>
      <c r="G68" s="16"/>
      <c r="H68" s="16"/>
      <c r="I68" s="16"/>
      <c r="J68" s="16"/>
      <c r="K68" s="16"/>
      <c r="L68" s="16"/>
      <c r="M68" s="72">
        <v>1</v>
      </c>
      <c r="N68" s="84" t="s">
        <v>4</v>
      </c>
      <c r="O68" s="73">
        <f>Outputs!B21</f>
        <v>0.20335871345020987</v>
      </c>
      <c r="P68" s="73">
        <f>O68/2</f>
        <v>0.10167935672510493</v>
      </c>
      <c r="Q68" s="74">
        <f>F68</f>
        <v>63.344442275996762</v>
      </c>
    </row>
    <row r="69" spans="1:17" ht="15.75" x14ac:dyDescent="0.25">
      <c r="A69" s="48" t="s">
        <v>0</v>
      </c>
      <c r="B69" s="139">
        <v>11382030</v>
      </c>
      <c r="C69" s="66">
        <f>F23</f>
        <v>68.77942022145163</v>
      </c>
      <c r="D69" s="49">
        <f>'Net Calcs'!N23</f>
        <v>13.479647564514266</v>
      </c>
      <c r="E69" s="67">
        <f t="shared" ref="E69:E72" si="13">D69/B69</f>
        <v>1.1842920432044429E-6</v>
      </c>
      <c r="F69" s="68">
        <f t="shared" ref="F69:F72" si="14">C69+E69</f>
        <v>68.779421405743676</v>
      </c>
      <c r="G69" s="16"/>
      <c r="H69" s="16"/>
      <c r="I69" s="16"/>
      <c r="J69" s="16"/>
      <c r="K69" s="16"/>
      <c r="L69" s="16"/>
      <c r="M69" s="72">
        <v>2</v>
      </c>
      <c r="N69" s="84" t="s">
        <v>0</v>
      </c>
      <c r="O69" s="73">
        <f>Outputs!B22</f>
        <v>0.20594224871298647</v>
      </c>
      <c r="P69" s="73">
        <f>SUM($O$68:O68)+O69/2</f>
        <v>0.30632983780670309</v>
      </c>
      <c r="Q69" s="74">
        <f>F69</f>
        <v>68.779421405743676</v>
      </c>
    </row>
    <row r="70" spans="1:17" ht="15.75" x14ac:dyDescent="0.25">
      <c r="A70" s="48" t="s">
        <v>1</v>
      </c>
      <c r="B70" s="139">
        <v>11090316</v>
      </c>
      <c r="C70" s="66">
        <f>F24</f>
        <v>70.865718865139243</v>
      </c>
      <c r="D70" s="49">
        <f>'Net Calcs'!N24</f>
        <v>-219.68496815477454</v>
      </c>
      <c r="E70" s="67">
        <f t="shared" si="13"/>
        <v>-1.9808720342574056E-5</v>
      </c>
      <c r="F70" s="68">
        <f t="shared" si="14"/>
        <v>70.865699056418904</v>
      </c>
      <c r="G70" s="16"/>
      <c r="H70" s="16"/>
      <c r="I70" s="16"/>
      <c r="J70" s="16"/>
      <c r="K70" s="16"/>
      <c r="L70" s="16"/>
      <c r="M70" s="72">
        <v>3</v>
      </c>
      <c r="N70" s="84" t="s">
        <v>1</v>
      </c>
      <c r="O70" s="73">
        <f>Outputs!B23</f>
        <v>0.20066408329424656</v>
      </c>
      <c r="P70" s="73">
        <f>SUM($O$68:O69)+O70/2</f>
        <v>0.50963300381031962</v>
      </c>
      <c r="Q70" s="74">
        <f>F70</f>
        <v>70.865699056418904</v>
      </c>
    </row>
    <row r="71" spans="1:17" ht="15.75" x14ac:dyDescent="0.25">
      <c r="A71" s="48" t="s">
        <v>2</v>
      </c>
      <c r="B71" s="139">
        <v>10895919</v>
      </c>
      <c r="C71" s="66">
        <f>F25</f>
        <v>74.325306908405608</v>
      </c>
      <c r="D71" s="49">
        <f>'Net Calcs'!N25</f>
        <v>-229.46126858854646</v>
      </c>
      <c r="E71" s="67">
        <f t="shared" si="13"/>
        <v>-2.1059377239179774E-5</v>
      </c>
      <c r="F71" s="68">
        <f t="shared" si="14"/>
        <v>74.325285849028376</v>
      </c>
      <c r="G71" s="16"/>
      <c r="H71" s="16"/>
      <c r="I71" s="16"/>
      <c r="J71" s="16"/>
      <c r="K71" s="16"/>
      <c r="L71" s="16"/>
      <c r="M71" s="72">
        <v>4</v>
      </c>
      <c r="N71" s="84" t="s">
        <v>2</v>
      </c>
      <c r="O71" s="73">
        <f>Outputs!B24</f>
        <v>0.19714673574525413</v>
      </c>
      <c r="P71" s="73">
        <f>SUM($O$68:O70)+O71/2</f>
        <v>0.70853841333006995</v>
      </c>
      <c r="Q71" s="74">
        <f>F71</f>
        <v>74.325285849028376</v>
      </c>
    </row>
    <row r="72" spans="1:17" ht="15.75" x14ac:dyDescent="0.25">
      <c r="A72" s="53" t="s">
        <v>3</v>
      </c>
      <c r="B72" s="140">
        <v>10660559</v>
      </c>
      <c r="C72" s="75">
        <f>F26</f>
        <v>76.245556018439885</v>
      </c>
      <c r="D72" s="54">
        <f>'Net Calcs'!N26</f>
        <v>-198.46930742973274</v>
      </c>
      <c r="E72" s="76">
        <f t="shared" si="13"/>
        <v>-1.861715763964467E-5</v>
      </c>
      <c r="F72" s="77">
        <f t="shared" si="14"/>
        <v>76.245537401282249</v>
      </c>
      <c r="G72" s="16"/>
      <c r="H72" s="16"/>
      <c r="I72" s="16"/>
      <c r="J72" s="16"/>
      <c r="K72" s="16"/>
      <c r="L72" s="16"/>
      <c r="M72" s="81">
        <v>5</v>
      </c>
      <c r="N72" s="85" t="s">
        <v>3</v>
      </c>
      <c r="O72" s="82">
        <f>Outputs!B25</f>
        <v>0.19288821879730297</v>
      </c>
      <c r="P72" s="82">
        <f>SUM($O$68:O71)+O72/2</f>
        <v>0.90355589060134844</v>
      </c>
      <c r="Q72" s="83">
        <f>F72</f>
        <v>76.245537401282249</v>
      </c>
    </row>
    <row r="74" spans="1:17" ht="46.5" customHeight="1" x14ac:dyDescent="0.2"/>
    <row r="77" spans="1:17" ht="55.5" customHeight="1" x14ac:dyDescent="0.2"/>
    <row r="88" spans="6:18" x14ac:dyDescent="0.2">
      <c r="F88" s="149"/>
    </row>
    <row r="91" spans="6:18" ht="15" x14ac:dyDescent="0.25">
      <c r="P91" s="145"/>
      <c r="Q91" s="145"/>
      <c r="R91" s="145"/>
    </row>
    <row r="92" spans="6:18" ht="55.5" customHeight="1" x14ac:dyDescent="0.2"/>
  </sheetData>
  <mergeCells count="1">
    <mergeCell ref="A3:I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7C1FD-1D36-4176-AFB5-4A87D0FD41AC}">
  <dimension ref="A1:E26"/>
  <sheetViews>
    <sheetView workbookViewId="0">
      <selection sqref="A1:E1"/>
    </sheetView>
  </sheetViews>
  <sheetFormatPr defaultRowHeight="14.25" x14ac:dyDescent="0.2"/>
  <cols>
    <col min="1" max="1" width="26.125" customWidth="1"/>
    <col min="2" max="2" width="10.375" customWidth="1"/>
    <col min="3" max="3" width="10.25" customWidth="1"/>
    <col min="4" max="4" width="10.375" customWidth="1"/>
    <col min="5" max="5" width="11.125" customWidth="1"/>
  </cols>
  <sheetData>
    <row r="1" spans="1:5" ht="66" customHeight="1" x14ac:dyDescent="0.2">
      <c r="A1" s="164" t="s">
        <v>125</v>
      </c>
      <c r="B1" s="164"/>
      <c r="C1" s="164"/>
      <c r="D1" s="164"/>
      <c r="E1" s="164"/>
    </row>
    <row r="3" spans="1:5" ht="15" x14ac:dyDescent="0.25">
      <c r="A3" s="146" t="s">
        <v>104</v>
      </c>
      <c r="B3" s="146"/>
      <c r="C3" s="166" t="s">
        <v>109</v>
      </c>
      <c r="D3" s="167"/>
      <c r="E3" s="167"/>
    </row>
    <row r="4" spans="1:5" ht="25.5" x14ac:dyDescent="0.2">
      <c r="A4" s="61" t="s">
        <v>6</v>
      </c>
      <c r="B4" s="109" t="s">
        <v>5</v>
      </c>
      <c r="C4" s="109" t="s">
        <v>53</v>
      </c>
      <c r="D4" s="109" t="s">
        <v>54</v>
      </c>
      <c r="E4" s="109" t="s">
        <v>55</v>
      </c>
    </row>
    <row r="5" spans="1:5" x14ac:dyDescent="0.2">
      <c r="A5" s="52" t="s">
        <v>7</v>
      </c>
      <c r="B5" s="139">
        <v>3959316</v>
      </c>
      <c r="C5" s="150">
        <f>'Final Dist'!C9</f>
        <v>65.953454828519668</v>
      </c>
      <c r="D5" s="150">
        <f>'Final Dist'!F9</f>
        <v>65.95356057161824</v>
      </c>
      <c r="E5" s="151">
        <f>'Final Dist'!F32</f>
        <v>0</v>
      </c>
    </row>
    <row r="6" spans="1:5" x14ac:dyDescent="0.2">
      <c r="A6" s="52" t="s">
        <v>8</v>
      </c>
      <c r="B6" s="139">
        <v>6331048</v>
      </c>
      <c r="C6" s="150">
        <f>'Final Dist'!C10</f>
        <v>70.344928147144799</v>
      </c>
      <c r="D6" s="150">
        <f>'Final Dist'!F10</f>
        <v>70.345009341331306</v>
      </c>
      <c r="E6" s="151">
        <f>'Final Dist'!F33</f>
        <v>0</v>
      </c>
    </row>
    <row r="7" spans="1:5" x14ac:dyDescent="0.2">
      <c r="A7" s="52" t="s">
        <v>9</v>
      </c>
      <c r="B7" s="139">
        <v>6474305</v>
      </c>
      <c r="C7" s="150">
        <f>'Final Dist'!C11</f>
        <v>72.213544204351976</v>
      </c>
      <c r="D7" s="150">
        <f>'Final Dist'!F11</f>
        <v>72.213646949791766</v>
      </c>
      <c r="E7" s="151">
        <f>'Final Dist'!F34</f>
        <v>0</v>
      </c>
    </row>
    <row r="8" spans="1:5" x14ac:dyDescent="0.2">
      <c r="A8" s="52" t="s">
        <v>10</v>
      </c>
      <c r="B8" s="139">
        <v>6194904</v>
      </c>
      <c r="C8" s="150">
        <f>'Final Dist'!C12</f>
        <v>75.597859352178702</v>
      </c>
      <c r="D8" s="150">
        <f>'Final Dist'!F12</f>
        <v>75.597916460553989</v>
      </c>
      <c r="E8" s="151">
        <f>'Final Dist'!F35</f>
        <v>0</v>
      </c>
    </row>
    <row r="9" spans="1:5" x14ac:dyDescent="0.2">
      <c r="A9" s="52" t="s">
        <v>11</v>
      </c>
      <c r="B9" s="139">
        <v>6501111</v>
      </c>
      <c r="C9" s="150">
        <f>'Final Dist'!C13</f>
        <v>77.323143845980766</v>
      </c>
      <c r="D9" s="150">
        <f>'Final Dist'!F13</f>
        <v>77.323203978587571</v>
      </c>
      <c r="E9" s="151">
        <f>'Final Dist'!F36</f>
        <v>0</v>
      </c>
    </row>
    <row r="10" spans="1:5" x14ac:dyDescent="0.2">
      <c r="A10" s="52" t="s">
        <v>12</v>
      </c>
      <c r="B10" s="139">
        <v>7279927</v>
      </c>
      <c r="C10" s="150">
        <f>'Final Dist'!C14</f>
        <v>61.925213745047813</v>
      </c>
      <c r="D10" s="150">
        <f>'Final Dist'!F14</f>
        <v>61.92536672465171</v>
      </c>
      <c r="E10" s="151">
        <f>'Final Dist'!F37</f>
        <v>0</v>
      </c>
    </row>
    <row r="11" spans="1:5" x14ac:dyDescent="0.2">
      <c r="A11" s="52" t="s">
        <v>13</v>
      </c>
      <c r="B11" s="139">
        <v>5050982</v>
      </c>
      <c r="C11" s="150">
        <f>'Final Dist'!C15</f>
        <v>66.81695247332172</v>
      </c>
      <c r="D11" s="150">
        <f>'Final Dist'!F15</f>
        <v>66.817065204895215</v>
      </c>
      <c r="E11" s="151">
        <f>'Final Dist'!F38</f>
        <v>0</v>
      </c>
    </row>
    <row r="12" spans="1:5" x14ac:dyDescent="0.2">
      <c r="A12" s="52" t="s">
        <v>14</v>
      </c>
      <c r="B12" s="139">
        <v>4616011</v>
      </c>
      <c r="C12" s="150">
        <f>'Final Dist'!C16</f>
        <v>68.975036101886801</v>
      </c>
      <c r="D12" s="150">
        <f>'Final Dist'!F16</f>
        <v>68.975147647239979</v>
      </c>
      <c r="E12" s="151">
        <f>'Final Dist'!F39</f>
        <v>0</v>
      </c>
    </row>
    <row r="13" spans="1:5" x14ac:dyDescent="0.2">
      <c r="A13" s="52" t="s">
        <v>15</v>
      </c>
      <c r="B13" s="139">
        <v>4701015</v>
      </c>
      <c r="C13" s="150">
        <f>'Final Dist'!C17</f>
        <v>72.648214965877315</v>
      </c>
      <c r="D13" s="150">
        <f>'Final Dist'!F17</f>
        <v>72.64828737006286</v>
      </c>
      <c r="E13" s="151">
        <f>'Final Dist'!F40</f>
        <v>0</v>
      </c>
    </row>
    <row r="14" spans="1:5" x14ac:dyDescent="0.2">
      <c r="A14" s="58" t="s">
        <v>16</v>
      </c>
      <c r="B14" s="139">
        <v>4159448</v>
      </c>
      <c r="C14" s="150">
        <f>'Final Dist'!C18</f>
        <v>74.561155997724143</v>
      </c>
      <c r="D14" s="150">
        <f>'Final Dist'!F18</f>
        <v>74.561219777707066</v>
      </c>
      <c r="E14" s="151">
        <f>'Final Dist'!F41</f>
        <v>0</v>
      </c>
    </row>
    <row r="15" spans="1:5" ht="25.5" x14ac:dyDescent="0.2">
      <c r="A15" s="143" t="s">
        <v>123</v>
      </c>
      <c r="B15" s="144"/>
      <c r="C15" s="150">
        <f>SUMPRODUCT($B$5:$B$14,C5:C14)/SUM($B$5:$B$14)</f>
        <v>70.626197272843712</v>
      </c>
      <c r="D15" s="150">
        <f>SUMPRODUCT($B$5:$B$14,D5:D14)/SUM($B$5:$B$14)</f>
        <v>70.626290387595915</v>
      </c>
      <c r="E15" s="151">
        <f>SUMPRODUCT($B$5:$B$14,E5:E14)/SUM($B$5:$B$14)</f>
        <v>0</v>
      </c>
    </row>
    <row r="16" spans="1:5" ht="27" customHeight="1" x14ac:dyDescent="0.2">
      <c r="A16" s="143" t="s">
        <v>124</v>
      </c>
      <c r="B16" s="75"/>
      <c r="C16" s="152">
        <f>AVERAGE(C5:C14)</f>
        <v>70.63595036620336</v>
      </c>
      <c r="D16" s="152">
        <f>AVERAGE(D5:D14)</f>
        <v>70.636042402643966</v>
      </c>
      <c r="E16" s="153">
        <f>AVERAGE(E5:E14)</f>
        <v>0</v>
      </c>
    </row>
    <row r="18" spans="1:5" ht="15" x14ac:dyDescent="0.25">
      <c r="A18" s="145" t="s">
        <v>105</v>
      </c>
      <c r="B18" s="145"/>
      <c r="C18" s="166" t="s">
        <v>109</v>
      </c>
      <c r="D18" s="167"/>
      <c r="E18" s="167"/>
    </row>
    <row r="19" spans="1:5" ht="25.5" x14ac:dyDescent="0.2">
      <c r="A19" s="143" t="s">
        <v>122</v>
      </c>
      <c r="B19" s="143" t="s">
        <v>5</v>
      </c>
      <c r="C19" s="143" t="s">
        <v>53</v>
      </c>
      <c r="D19" s="143" t="s">
        <v>54</v>
      </c>
      <c r="E19" s="143" t="s">
        <v>55</v>
      </c>
    </row>
    <row r="20" spans="1:5" x14ac:dyDescent="0.2">
      <c r="A20" s="141" t="s">
        <v>120</v>
      </c>
      <c r="B20" s="139">
        <f>'Final Dist'!B68</f>
        <v>11239243</v>
      </c>
      <c r="C20" s="150">
        <f>'Final Dist'!C22</f>
        <v>63.34426655613548</v>
      </c>
      <c r="D20" s="150">
        <f>'Final Dist'!F22</f>
        <v>63.344402895450415</v>
      </c>
      <c r="E20" s="151">
        <f>'Final Dist'!F45</f>
        <v>63.344442275996762</v>
      </c>
    </row>
    <row r="21" spans="1:5" x14ac:dyDescent="0.2">
      <c r="A21" s="142">
        <v>2</v>
      </c>
      <c r="B21" s="139">
        <f>'Final Dist'!B69</f>
        <v>11382030</v>
      </c>
      <c r="C21" s="150">
        <f>'Final Dist'!C23</f>
        <v>68.779325031978331</v>
      </c>
      <c r="D21" s="150">
        <f>'Final Dist'!F23</f>
        <v>68.77942022145163</v>
      </c>
      <c r="E21" s="151">
        <f>'Final Dist'!F46</f>
        <v>68.779421405743662</v>
      </c>
    </row>
    <row r="22" spans="1:5" x14ac:dyDescent="0.2">
      <c r="A22" s="142">
        <v>3</v>
      </c>
      <c r="B22" s="139">
        <f>'Final Dist'!B70</f>
        <v>11090316</v>
      </c>
      <c r="C22" s="150">
        <f>'Final Dist'!C24</f>
        <v>70.865612456999756</v>
      </c>
      <c r="D22" s="150">
        <f>'Final Dist'!F24</f>
        <v>70.865718865139243</v>
      </c>
      <c r="E22" s="151">
        <f>'Final Dist'!F47</f>
        <v>70.86569905641889</v>
      </c>
    </row>
    <row r="23" spans="1:5" x14ac:dyDescent="0.2">
      <c r="A23" s="142">
        <v>4</v>
      </c>
      <c r="B23" s="139">
        <f>'Final Dist'!B71</f>
        <v>10895919</v>
      </c>
      <c r="C23" s="150">
        <f>'Final Dist'!C25</f>
        <v>74.325243200694047</v>
      </c>
      <c r="D23" s="150">
        <f>'Final Dist'!F25</f>
        <v>74.325306908405608</v>
      </c>
      <c r="E23" s="151">
        <f>'Final Dist'!F48</f>
        <v>74.325285849028361</v>
      </c>
    </row>
    <row r="24" spans="1:5" x14ac:dyDescent="0.2">
      <c r="A24" s="141" t="s">
        <v>121</v>
      </c>
      <c r="B24" s="139">
        <f>'Final Dist'!B72</f>
        <v>10660559</v>
      </c>
      <c r="C24" s="150">
        <f>'Final Dist'!C26</f>
        <v>76.245494462730292</v>
      </c>
      <c r="D24" s="150">
        <f>'Final Dist'!F26</f>
        <v>76.245556018439885</v>
      </c>
      <c r="E24" s="151">
        <f>'Final Dist'!F49</f>
        <v>76.245537401282249</v>
      </c>
    </row>
    <row r="25" spans="1:5" ht="25.5" x14ac:dyDescent="0.2">
      <c r="A25" s="143" t="s">
        <v>123</v>
      </c>
      <c r="B25" s="144"/>
      <c r="C25" s="150">
        <f>SUMPRODUCT($B$20:$B$24,C20:C24)/SUM($B$20:$B$24)</f>
        <v>70.62619727284374</v>
      </c>
      <c r="D25" s="150">
        <f>SUMPRODUCT($B$20:$B$24,D20:D24)/SUM($B$20:$B$24)</f>
        <v>70.626290387595901</v>
      </c>
      <c r="E25" s="151">
        <f>SUMPRODUCT($B$20:$B$24,E20:E24)/SUM($B$20:$B$24)</f>
        <v>70.626286922152346</v>
      </c>
    </row>
    <row r="26" spans="1:5" ht="25.5" x14ac:dyDescent="0.2">
      <c r="A26" s="143" t="s">
        <v>124</v>
      </c>
      <c r="B26" s="75"/>
      <c r="C26" s="152">
        <f>AVERAGE(C20:C24)</f>
        <v>70.711988341707581</v>
      </c>
      <c r="D26" s="152">
        <f>AVERAGE(D20:D24)</f>
        <v>70.712080981777348</v>
      </c>
      <c r="E26" s="153">
        <f>AVERAGE(E20:E24)</f>
        <v>70.712077197693986</v>
      </c>
    </row>
  </sheetData>
  <mergeCells count="3">
    <mergeCell ref="A1:E1"/>
    <mergeCell ref="C3:E3"/>
    <mergeCell ref="C18:E1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39"/>
  <sheetViews>
    <sheetView zoomScale="90" zoomScaleNormal="90" workbookViewId="0"/>
  </sheetViews>
  <sheetFormatPr defaultColWidth="11" defaultRowHeight="15.75" x14ac:dyDescent="0.25"/>
  <cols>
    <col min="1" max="1" width="27.625" style="16" customWidth="1"/>
    <col min="2" max="2" width="17" style="16" customWidth="1"/>
    <col min="3" max="3" width="16.5" style="16" customWidth="1"/>
    <col min="4" max="4" width="13" style="16" customWidth="1"/>
    <col min="5" max="5" width="15" style="16" customWidth="1"/>
    <col min="6" max="6" width="14" style="16" customWidth="1"/>
    <col min="7" max="9" width="14.875" style="16" bestFit="1" customWidth="1"/>
    <col min="10" max="10" width="14.375" style="16" customWidth="1"/>
    <col min="11" max="11" width="12.375" style="16" customWidth="1"/>
    <col min="12" max="12" width="11.375" style="16" bestFit="1" customWidth="1"/>
    <col min="13" max="13" width="11" style="16"/>
    <col min="14" max="14" width="15.625" style="16" customWidth="1"/>
    <col min="15" max="15" width="4.375" style="16" customWidth="1"/>
    <col min="16" max="16" width="11" style="16"/>
    <col min="17" max="20" width="15.5" style="16" bestFit="1" customWidth="1"/>
    <col min="21" max="21" width="11" style="16"/>
    <col min="22" max="23" width="15.5" style="16" bestFit="1" customWidth="1"/>
    <col min="24" max="24" width="13.875" style="16" bestFit="1" customWidth="1"/>
    <col min="25" max="25" width="15.875" style="16" customWidth="1"/>
    <col min="26" max="26" width="6" style="16" customWidth="1"/>
    <col min="27" max="27" width="14.625" style="16" customWidth="1"/>
    <col min="28" max="28" width="16.125" style="16" customWidth="1"/>
    <col min="29" max="16384" width="11" style="16"/>
  </cols>
  <sheetData>
    <row r="1" spans="1:2" ht="18" x14ac:dyDescent="0.25">
      <c r="A1" s="25" t="s">
        <v>88</v>
      </c>
    </row>
    <row r="2" spans="1:2" ht="18" x14ac:dyDescent="0.25">
      <c r="A2" s="25"/>
    </row>
    <row r="3" spans="1:2" ht="29.25" x14ac:dyDescent="0.25">
      <c r="A3" s="96" t="s">
        <v>89</v>
      </c>
      <c r="B3" s="125">
        <v>13000</v>
      </c>
    </row>
    <row r="5" spans="1:2" ht="18" x14ac:dyDescent="0.25">
      <c r="A5" s="25" t="s">
        <v>70</v>
      </c>
    </row>
    <row r="8" spans="1:2" x14ac:dyDescent="0.25">
      <c r="A8" s="15"/>
    </row>
    <row r="9" spans="1:2" x14ac:dyDescent="0.25">
      <c r="A9" s="15"/>
    </row>
    <row r="10" spans="1:2" x14ac:dyDescent="0.25">
      <c r="A10" s="15"/>
    </row>
    <row r="11" spans="1:2" x14ac:dyDescent="0.25">
      <c r="A11" s="15"/>
    </row>
    <row r="12" spans="1:2" x14ac:dyDescent="0.25">
      <c r="A12" s="15"/>
    </row>
    <row r="13" spans="1:2" x14ac:dyDescent="0.25">
      <c r="A13" s="15"/>
    </row>
    <row r="14" spans="1:2" x14ac:dyDescent="0.25">
      <c r="A14" s="15"/>
    </row>
    <row r="15" spans="1:2" x14ac:dyDescent="0.25">
      <c r="A15" s="15"/>
    </row>
    <row r="16" spans="1:2" x14ac:dyDescent="0.25">
      <c r="A16" s="15"/>
    </row>
    <row r="17" spans="1:12" x14ac:dyDescent="0.25">
      <c r="A17" s="15"/>
    </row>
    <row r="18" spans="1:12" x14ac:dyDescent="0.25">
      <c r="A18" s="15"/>
    </row>
    <row r="19" spans="1:12" x14ac:dyDescent="0.25">
      <c r="A19" s="15"/>
    </row>
    <row r="20" spans="1:12" x14ac:dyDescent="0.25">
      <c r="A20" s="15"/>
    </row>
    <row r="21" spans="1:12" x14ac:dyDescent="0.25">
      <c r="A21" s="15"/>
    </row>
    <row r="22" spans="1:12" x14ac:dyDescent="0.25">
      <c r="A22" s="15"/>
    </row>
    <row r="23" spans="1:12" x14ac:dyDescent="0.25">
      <c r="A23" s="15"/>
    </row>
    <row r="24" spans="1:12" x14ac:dyDescent="0.25">
      <c r="A24" s="15" t="s">
        <v>71</v>
      </c>
    </row>
    <row r="25" spans="1:12" x14ac:dyDescent="0.25">
      <c r="B25" s="168" t="s">
        <v>72</v>
      </c>
      <c r="C25" s="168"/>
      <c r="D25" s="168"/>
      <c r="E25" s="168"/>
      <c r="F25" s="168" t="s">
        <v>73</v>
      </c>
      <c r="G25" s="168"/>
      <c r="H25" s="168"/>
      <c r="I25" s="168"/>
      <c r="L25" s="169" t="s">
        <v>127</v>
      </c>
    </row>
    <row r="26" spans="1:12" x14ac:dyDescent="0.25">
      <c r="A26" s="97" t="s">
        <v>74</v>
      </c>
      <c r="B26" s="97" t="s">
        <v>22</v>
      </c>
      <c r="C26" s="97" t="s">
        <v>23</v>
      </c>
      <c r="D26" s="97" t="s">
        <v>18</v>
      </c>
      <c r="E26" s="97" t="s">
        <v>19</v>
      </c>
      <c r="F26" s="97" t="s">
        <v>22</v>
      </c>
      <c r="G26" s="97" t="s">
        <v>23</v>
      </c>
      <c r="H26" s="97" t="s">
        <v>18</v>
      </c>
      <c r="I26" s="97" t="s">
        <v>19</v>
      </c>
      <c r="J26" s="97" t="s">
        <v>63</v>
      </c>
      <c r="K26" s="97" t="s">
        <v>75</v>
      </c>
      <c r="L26" s="169"/>
    </row>
    <row r="27" spans="1:12" x14ac:dyDescent="0.25">
      <c r="A27" s="97" t="s">
        <v>76</v>
      </c>
      <c r="B27" s="135">
        <v>15.397930100932953</v>
      </c>
      <c r="C27" s="136">
        <v>0.24865364477105789</v>
      </c>
      <c r="D27" s="135">
        <v>16.098371700858493</v>
      </c>
      <c r="E27" s="136">
        <v>0.227937682085121</v>
      </c>
      <c r="F27" s="137">
        <v>0</v>
      </c>
      <c r="G27" s="137">
        <v>0</v>
      </c>
      <c r="H27" s="137">
        <v>0</v>
      </c>
      <c r="I27" s="137">
        <v>0</v>
      </c>
      <c r="J27" s="137">
        <v>0</v>
      </c>
      <c r="K27" s="138">
        <v>0</v>
      </c>
      <c r="L27" s="138">
        <v>0</v>
      </c>
    </row>
    <row r="28" spans="1:12" x14ac:dyDescent="0.25">
      <c r="A28" s="97" t="s">
        <v>64</v>
      </c>
      <c r="B28" s="100">
        <f>'Final Dist'!Q18-'Final Dist'!Q9</f>
        <v>15.397837253935862</v>
      </c>
      <c r="C28" s="101">
        <f>'Final Dist'!Q18/'Final Dist'!Q9-1</f>
        <v>0.24865153116333794</v>
      </c>
      <c r="D28" s="100">
        <f>_xlfn.COVARIANCE.P('Final Dist'!Q9:Q18,'Final Dist'!P9:P18)/_xlfn.VAR.P('Final Dist'!P9:P18)</f>
        <v>16.098277122246795</v>
      </c>
      <c r="E28" s="101">
        <f>D28/SUMPRODUCT('Final Dist'!O9:O18,'Final Dist'!Q9:Q18)</f>
        <v>0.2279360424269733</v>
      </c>
      <c r="F28" s="102">
        <f t="shared" ref="F28:I29" si="0">-1*(B28-B$27)</f>
        <v>9.284699709155575E-5</v>
      </c>
      <c r="G28" s="102">
        <f t="shared" si="0"/>
        <v>2.1136077199557235E-6</v>
      </c>
      <c r="H28" s="102">
        <f t="shared" si="0"/>
        <v>9.4578611697926362E-5</v>
      </c>
      <c r="I28" s="102">
        <f t="shared" si="0"/>
        <v>1.6396581477007288E-6</v>
      </c>
      <c r="J28" s="98">
        <f>SUM('Final Dist'!D9:D18)</f>
        <v>5146.2723622852227</v>
      </c>
      <c r="K28" s="99">
        <f t="shared" ref="K28:K30" si="1">H28*10000</f>
        <v>0.94578611697926362</v>
      </c>
      <c r="L28" s="99">
        <f>F28*10000</f>
        <v>0.9284699709155575</v>
      </c>
    </row>
    <row r="29" spans="1:12" x14ac:dyDescent="0.25">
      <c r="A29" s="97" t="s">
        <v>65</v>
      </c>
      <c r="B29" s="103"/>
      <c r="C29" s="104"/>
      <c r="D29" s="100" t="e">
        <f>_xlfn.COVARIANCE.P('Final Dist'!Q32:Q41,'Final Dist'!P32:P41)/_xlfn.VAR.P('Final Dist'!P32:P41)</f>
        <v>#DIV/0!</v>
      </c>
      <c r="E29" s="100" t="e">
        <f>D29/SUMPRODUCT('Final Dist'!O32:O41,'Final Dist'!Q32:Q41)</f>
        <v>#DIV/0!</v>
      </c>
      <c r="F29" s="105"/>
      <c r="G29" s="105"/>
      <c r="H29" s="100" t="e">
        <f t="shared" si="0"/>
        <v>#DIV/0!</v>
      </c>
      <c r="I29" s="100" t="e">
        <f t="shared" si="0"/>
        <v>#DIV/0!</v>
      </c>
      <c r="J29" s="106"/>
      <c r="K29" s="99" t="e">
        <f>H29*10000</f>
        <v>#DIV/0!</v>
      </c>
      <c r="L29" s="99">
        <f>F29*10000</f>
        <v>0</v>
      </c>
    </row>
    <row r="30" spans="1:12" x14ac:dyDescent="0.25">
      <c r="A30" s="97" t="s">
        <v>77</v>
      </c>
      <c r="B30" s="103"/>
      <c r="C30" s="104"/>
      <c r="D30" s="100" t="e">
        <f>_xlfn.COVARIANCE.P('Final Dist'!Q55:Q64,'Final Dist'!P55:P64)/_xlfn.VAR.P('Final Dist'!P55:P64)</f>
        <v>#DIV/0!</v>
      </c>
      <c r="E30" s="100" t="e">
        <f>D30/SUMPRODUCT('Final Dist'!O55:O64,'Final Dist'!Q55:Q64)</f>
        <v>#DIV/0!</v>
      </c>
      <c r="F30" s="105"/>
      <c r="G30" s="105"/>
      <c r="H30" s="100" t="e">
        <f>-1*(D30-D$28)</f>
        <v>#DIV/0!</v>
      </c>
      <c r="I30" s="100" t="e">
        <f>-1*(E30-E$28)</f>
        <v>#DIV/0!</v>
      </c>
      <c r="J30" s="106"/>
      <c r="K30" s="99" t="e">
        <f t="shared" si="1"/>
        <v>#DIV/0!</v>
      </c>
      <c r="L30" s="99">
        <f>F30*10000</f>
        <v>0</v>
      </c>
    </row>
    <row r="31" spans="1:12" x14ac:dyDescent="0.25">
      <c r="E31" s="107"/>
    </row>
    <row r="33" spans="1:11" x14ac:dyDescent="0.25">
      <c r="A33" s="15" t="s">
        <v>78</v>
      </c>
    </row>
    <row r="34" spans="1:11" x14ac:dyDescent="0.25">
      <c r="B34" s="168" t="s">
        <v>72</v>
      </c>
      <c r="C34" s="168"/>
      <c r="D34" s="168"/>
      <c r="E34" s="168"/>
      <c r="F34" s="168" t="s">
        <v>73</v>
      </c>
      <c r="G34" s="168"/>
      <c r="H34" s="168"/>
      <c r="I34" s="168"/>
    </row>
    <row r="35" spans="1:11" x14ac:dyDescent="0.25">
      <c r="A35" s="97" t="s">
        <v>74</v>
      </c>
      <c r="B35" s="97" t="s">
        <v>22</v>
      </c>
      <c r="C35" s="97" t="s">
        <v>23</v>
      </c>
      <c r="D35" s="97" t="s">
        <v>18</v>
      </c>
      <c r="E35" s="97" t="s">
        <v>19</v>
      </c>
      <c r="F35" s="97" t="s">
        <v>22</v>
      </c>
      <c r="G35" s="97" t="s">
        <v>23</v>
      </c>
      <c r="H35" s="97" t="s">
        <v>18</v>
      </c>
      <c r="I35" s="97" t="s">
        <v>19</v>
      </c>
      <c r="J35" s="97" t="s">
        <v>63</v>
      </c>
      <c r="K35" s="97" t="s">
        <v>75</v>
      </c>
    </row>
    <row r="36" spans="1:11" x14ac:dyDescent="0.25">
      <c r="A36" s="97" t="s">
        <v>76</v>
      </c>
      <c r="B36" s="136">
        <v>12.901227906594812</v>
      </c>
      <c r="C36" s="136">
        <v>0.20366843927637523</v>
      </c>
      <c r="D36" s="136">
        <v>15.647668583911278</v>
      </c>
      <c r="E36" s="136">
        <v>0.22155615321409805</v>
      </c>
      <c r="F36" s="137">
        <v>0</v>
      </c>
      <c r="G36" s="137">
        <v>0</v>
      </c>
      <c r="H36" s="137">
        <v>0</v>
      </c>
      <c r="I36" s="137">
        <v>0</v>
      </c>
      <c r="J36" s="137">
        <v>0</v>
      </c>
      <c r="K36" s="138">
        <v>0</v>
      </c>
    </row>
    <row r="37" spans="1:11" x14ac:dyDescent="0.25">
      <c r="A37" s="97" t="s">
        <v>64</v>
      </c>
      <c r="B37" s="101">
        <f>'Final Dist'!Q26-'Final Dist'!Q22</f>
        <v>12.90115312298947</v>
      </c>
      <c r="C37" s="101">
        <f>'Final Dist'!Q26/'Final Dist'!Q22-1</f>
        <v>0.2036668203232217</v>
      </c>
      <c r="D37" s="101">
        <f>_xlfn.COVARIANCE.P('Final Dist'!P22:P26,'Final Dist'!Q22:Q26)/_xlfn.VAR.P('Final Dist'!P22:P26)</f>
        <v>15.647578269325495</v>
      </c>
      <c r="E37" s="101">
        <f>D37/SUMPRODUCT('Final Dist'!O22:O26,'Final Dist'!Q22:Q26)</f>
        <v>0.22155458234393799</v>
      </c>
      <c r="F37" s="102">
        <f>-1*(B37-B$36)</f>
        <v>7.4783605342076953E-5</v>
      </c>
      <c r="G37" s="102">
        <f t="shared" ref="G37:I37" si="2">-1*(C37-C$36)</f>
        <v>1.618953153537106E-6</v>
      </c>
      <c r="H37" s="102">
        <f t="shared" si="2"/>
        <v>9.0314585783346502E-5</v>
      </c>
      <c r="I37" s="102">
        <f t="shared" si="2"/>
        <v>1.5708701600614106E-6</v>
      </c>
      <c r="J37" s="98">
        <f>J28</f>
        <v>5146.2723622852227</v>
      </c>
      <c r="K37" s="99">
        <f t="shared" ref="K37" si="3">H37*10000</f>
        <v>0.90314585783346502</v>
      </c>
    </row>
    <row r="38" spans="1:11" x14ac:dyDescent="0.25">
      <c r="A38" s="97" t="s">
        <v>65</v>
      </c>
      <c r="B38" s="100">
        <f>'Final Dist'!Q49-'Final Dist'!Q45</f>
        <v>12.901095125285487</v>
      </c>
      <c r="C38" s="101">
        <f>'Final Dist'!Q49/'Final Dist'!Q45 -1</f>
        <v>0.20366577811316722</v>
      </c>
      <c r="D38" s="100">
        <f>_xlfn.COVARIANCE.P('Final Dist'!Q45:Q49,'Final Dist'!P45:P49)/_xlfn.VAR.P('Final Dist'!P45:P49)</f>
        <v>15.647508944080789</v>
      </c>
      <c r="E38" s="101">
        <f>D38/SUMPRODUCT('Final Dist'!O45:O49,'Final Dist'!Q45:Q49)</f>
        <v>0.22155361163653156</v>
      </c>
      <c r="F38" s="102">
        <f>-1*(B38-B$36)</f>
        <v>1.3278130932548038E-4</v>
      </c>
      <c r="G38" s="102">
        <f>-1*(C38-C$36)</f>
        <v>2.6611632080175696E-6</v>
      </c>
      <c r="H38" s="102">
        <f>-1*(D38-D$36)</f>
        <v>1.5963983048905561E-4</v>
      </c>
      <c r="I38" s="102">
        <f>-1*(E38-E$36)</f>
        <v>2.541577566489428E-6</v>
      </c>
      <c r="J38" s="98">
        <f>J29</f>
        <v>0</v>
      </c>
      <c r="K38" s="99">
        <f>H38*10000</f>
        <v>1.5963983048905561</v>
      </c>
    </row>
    <row r="39" spans="1:11" x14ac:dyDescent="0.25">
      <c r="A39" s="97" t="s">
        <v>77</v>
      </c>
      <c r="B39" s="100">
        <f>'Final Dist'!Q72-'Final Dist'!Q68</f>
        <v>12.901095125285487</v>
      </c>
      <c r="C39" s="101">
        <f>'Final Dist'!Q72/'Final Dist'!Q68-1</f>
        <v>0.20366577811316722</v>
      </c>
      <c r="D39" s="100">
        <f>_xlfn.COVARIANCE.P('Final Dist'!Q68:Q72,'Final Dist'!P68:P72)/_xlfn.VAR.P('Final Dist'!P68:P72)</f>
        <v>15.647508944080789</v>
      </c>
      <c r="E39" s="101">
        <f>D39/SUMPRODUCT('Final Dist'!O68:O72,'Final Dist'!Q68:Q72)</f>
        <v>0.22155361163653151</v>
      </c>
      <c r="F39" s="102">
        <f>-1*(B39-B$37)</f>
        <v>5.7997703983403426E-5</v>
      </c>
      <c r="G39" s="102">
        <f>-1*(C39-C$37)</f>
        <v>1.0422100544804636E-6</v>
      </c>
      <c r="H39" s="102">
        <f>-1*(D39-D$37)</f>
        <v>6.932524470570911E-5</v>
      </c>
      <c r="I39" s="102">
        <f>-1*(E39-E$37)</f>
        <v>9.707074064835286E-7</v>
      </c>
      <c r="J39" s="98">
        <f>J30</f>
        <v>0</v>
      </c>
      <c r="K39" s="99">
        <f t="shared" ref="K39" si="4">H39*10000</f>
        <v>0.6932524470570911</v>
      </c>
    </row>
  </sheetData>
  <mergeCells count="5">
    <mergeCell ref="B25:E25"/>
    <mergeCell ref="F25:I25"/>
    <mergeCell ref="B34:E34"/>
    <mergeCell ref="F34:I34"/>
    <mergeCell ref="L25:L26"/>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8</vt:i4>
      </vt:variant>
      <vt:variant>
        <vt:lpstr>Charts</vt:lpstr>
      </vt:variant>
      <vt:variant>
        <vt:i4>1</vt:i4>
      </vt:variant>
      <vt:variant>
        <vt:lpstr>Named Ranges</vt:lpstr>
      </vt:variant>
      <vt:variant>
        <vt:i4>1</vt:i4>
      </vt:variant>
    </vt:vector>
  </HeadingPairs>
  <TitlesOfParts>
    <vt:vector size="10" baseType="lpstr">
      <vt:lpstr>Title Sheet</vt:lpstr>
      <vt:lpstr>HOC Calcs</vt:lpstr>
      <vt:lpstr>HOC Summary</vt:lpstr>
      <vt:lpstr>Outputs</vt:lpstr>
      <vt:lpstr>Net Calcs</vt:lpstr>
      <vt:lpstr>Final Dist</vt:lpstr>
      <vt:lpstr>Summary</vt:lpstr>
      <vt:lpstr>Equity Impact</vt:lpstr>
      <vt:lpstr>Net Fig</vt:lpstr>
      <vt:lpstr>mprod</vt:lpstr>
    </vt:vector>
  </TitlesOfParts>
  <Company>University of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Love-Koh</dc:creator>
  <cp:lastModifiedBy>Richard</cp:lastModifiedBy>
  <dcterms:created xsi:type="dcterms:W3CDTF">2018-02-01T16:52:44Z</dcterms:created>
  <dcterms:modified xsi:type="dcterms:W3CDTF">2021-04-05T12:13:52Z</dcterms:modified>
</cp:coreProperties>
</file>